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7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ostafaamer/Documents/SBS swiss business School MBA/03 Interprenurship &amp; innovation/Assignment/Assignment solution/"/>
    </mc:Choice>
  </mc:AlternateContent>
  <xr:revisionPtr revIDLastSave="0" documentId="13_ncr:1_{0AD8B273-75ED-FE4C-9663-4EF84449124F}" xr6:coauthVersionLast="45" xr6:coauthVersionMax="45" xr10:uidLastSave="{00000000-0000-0000-0000-000000000000}"/>
  <bookViews>
    <workbookView xWindow="0" yWindow="460" windowWidth="20480" windowHeight="11300" firstSheet="2" activeTab="7" xr2:uid="{85980690-0F84-064D-8879-B974E34A5470}"/>
  </bookViews>
  <sheets>
    <sheet name="Feasibility study" sheetId="1" r:id="rId1"/>
    <sheet name="Market Analysis" sheetId="2" r:id="rId2"/>
    <sheet name="Sales forecasting " sheetId="3" r:id="rId3"/>
    <sheet name="personel plan" sheetId="4" r:id="rId4"/>
    <sheet name="Financial plan " sheetId="5" r:id="rId5"/>
    <sheet name="Breakeven analysis" sheetId="6" r:id="rId6"/>
    <sheet name="P&amp;L" sheetId="7" r:id="rId7"/>
    <sheet name="Balance sheet " sheetId="8" r:id="rId8"/>
  </sheets>
  <definedNames>
    <definedName name="_xlnm._FilterDatabase" localSheetId="5" hidden="1">'Breakeven analysis'!$B$3:$D$12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W13" i="5" l="1"/>
  <c r="X13" i="5" s="1"/>
  <c r="Y13" i="5" s="1"/>
  <c r="Z13" i="5" s="1"/>
  <c r="AA13" i="5" s="1"/>
  <c r="AB13" i="5" s="1"/>
  <c r="AC13" i="5" s="1"/>
  <c r="AD13" i="5" s="1"/>
  <c r="AE13" i="5" s="1"/>
  <c r="AF13" i="5" s="1"/>
  <c r="V13" i="5"/>
  <c r="V14" i="5"/>
  <c r="W14" i="5"/>
  <c r="X14" i="5"/>
  <c r="Y14" i="5"/>
  <c r="Z14" i="5"/>
  <c r="AA14" i="5"/>
  <c r="AB14" i="5"/>
  <c r="AC14" i="5"/>
  <c r="AD14" i="5"/>
  <c r="AE14" i="5"/>
  <c r="AF14" i="5"/>
  <c r="U14" i="5"/>
  <c r="U13" i="5"/>
  <c r="D29" i="8" l="1"/>
  <c r="E29" i="8"/>
  <c r="C29" i="8"/>
  <c r="D28" i="8"/>
  <c r="E28" i="8"/>
  <c r="C28" i="8"/>
  <c r="H2" i="2" l="1"/>
  <c r="G2" i="2"/>
  <c r="D31" i="7" l="1"/>
  <c r="E31" i="7"/>
  <c r="D32" i="7"/>
  <c r="E32" i="7"/>
  <c r="D33" i="7"/>
  <c r="E33" i="7"/>
  <c r="C33" i="7"/>
  <c r="C32" i="7"/>
  <c r="C31" i="7"/>
  <c r="C21" i="8"/>
  <c r="D19" i="8"/>
  <c r="E19" i="8"/>
  <c r="C18" i="8"/>
  <c r="C17" i="8"/>
  <c r="C12" i="8"/>
  <c r="C13" i="8" s="1"/>
  <c r="D11" i="8"/>
  <c r="E11" i="8" s="1"/>
  <c r="C11" i="8"/>
  <c r="C8" i="8"/>
  <c r="C9" i="8" s="1"/>
  <c r="D7" i="8"/>
  <c r="D8" i="8" s="1"/>
  <c r="D9" i="8" s="1"/>
  <c r="E7" i="8"/>
  <c r="E8" i="8" s="1"/>
  <c r="E9" i="8" s="1"/>
  <c r="C7" i="8"/>
  <c r="C14" i="8" l="1"/>
  <c r="E12" i="8"/>
  <c r="E13" i="8" s="1"/>
  <c r="E14" i="8" s="1"/>
  <c r="D12" i="8"/>
  <c r="D13" i="8" s="1"/>
  <c r="D14" i="8" s="1"/>
  <c r="G30" i="5"/>
  <c r="G28" i="5"/>
  <c r="J35" i="5"/>
  <c r="K35" i="5" s="1"/>
  <c r="I35" i="5"/>
  <c r="I32" i="5"/>
  <c r="I33" i="5" s="1"/>
  <c r="J32" i="5"/>
  <c r="J33" i="5" s="1"/>
  <c r="K32" i="5"/>
  <c r="L32" i="5"/>
  <c r="L33" i="5" s="1"/>
  <c r="M32" i="5"/>
  <c r="N32" i="5"/>
  <c r="O32" i="5"/>
  <c r="P32" i="5"/>
  <c r="P33" i="5" s="1"/>
  <c r="Q32" i="5"/>
  <c r="Q33" i="5" s="1"/>
  <c r="R32" i="5"/>
  <c r="R33" i="5" s="1"/>
  <c r="S32" i="5"/>
  <c r="K33" i="5"/>
  <c r="M33" i="5"/>
  <c r="N33" i="5"/>
  <c r="O33" i="5"/>
  <c r="S33" i="5"/>
  <c r="H35" i="5"/>
  <c r="H34" i="5"/>
  <c r="H33" i="5"/>
  <c r="H32" i="5"/>
  <c r="S31" i="5"/>
  <c r="R31" i="5"/>
  <c r="Q31" i="5"/>
  <c r="P31" i="5"/>
  <c r="O31" i="5"/>
  <c r="N31" i="5"/>
  <c r="M31" i="5"/>
  <c r="L31" i="5"/>
  <c r="K31" i="5"/>
  <c r="J31" i="5"/>
  <c r="I31" i="5"/>
  <c r="H31" i="5"/>
  <c r="S30" i="5"/>
  <c r="R30" i="5"/>
  <c r="Q30" i="5"/>
  <c r="P30" i="5"/>
  <c r="O30" i="5"/>
  <c r="N30" i="5"/>
  <c r="M30" i="5"/>
  <c r="L30" i="5"/>
  <c r="K30" i="5"/>
  <c r="J30" i="5"/>
  <c r="I30" i="5"/>
  <c r="H30" i="5"/>
  <c r="S29" i="5"/>
  <c r="R29" i="5"/>
  <c r="Q29" i="5"/>
  <c r="P29" i="5"/>
  <c r="O29" i="5"/>
  <c r="N29" i="5"/>
  <c r="M29" i="5"/>
  <c r="L29" i="5"/>
  <c r="K29" i="5"/>
  <c r="J29" i="5"/>
  <c r="I29" i="5"/>
  <c r="H29" i="5"/>
  <c r="S28" i="5"/>
  <c r="R28" i="5"/>
  <c r="Q28" i="5"/>
  <c r="P28" i="5"/>
  <c r="O28" i="5"/>
  <c r="N28" i="5"/>
  <c r="M28" i="5"/>
  <c r="L28" i="5"/>
  <c r="K28" i="5"/>
  <c r="J28" i="5"/>
  <c r="I28" i="5"/>
  <c r="H28" i="5"/>
  <c r="S27" i="5"/>
  <c r="R27" i="5"/>
  <c r="Q27" i="5"/>
  <c r="P27" i="5"/>
  <c r="O27" i="5"/>
  <c r="N27" i="5"/>
  <c r="M27" i="5"/>
  <c r="L27" i="5"/>
  <c r="K27" i="5"/>
  <c r="J27" i="5"/>
  <c r="I27" i="5"/>
  <c r="H27" i="5"/>
  <c r="S26" i="5"/>
  <c r="R26" i="5"/>
  <c r="Q26" i="5"/>
  <c r="P26" i="5"/>
  <c r="O26" i="5"/>
  <c r="N26" i="5"/>
  <c r="M26" i="5"/>
  <c r="L26" i="5"/>
  <c r="K26" i="5"/>
  <c r="J26" i="5"/>
  <c r="I26" i="5"/>
  <c r="H26" i="5"/>
  <c r="S25" i="5"/>
  <c r="R25" i="5"/>
  <c r="Q25" i="5"/>
  <c r="P25" i="5"/>
  <c r="O25" i="5"/>
  <c r="N25" i="5"/>
  <c r="M25" i="5"/>
  <c r="L25" i="5"/>
  <c r="K25" i="5"/>
  <c r="J25" i="5"/>
  <c r="I25" i="5"/>
  <c r="H25" i="5"/>
  <c r="S24" i="5"/>
  <c r="R24" i="5"/>
  <c r="Q24" i="5"/>
  <c r="P24" i="5"/>
  <c r="O24" i="5"/>
  <c r="N24" i="5"/>
  <c r="M24" i="5"/>
  <c r="L24" i="5"/>
  <c r="K24" i="5"/>
  <c r="J24" i="5"/>
  <c r="I24" i="5"/>
  <c r="H24" i="5"/>
  <c r="S23" i="5"/>
  <c r="R23" i="5"/>
  <c r="Q23" i="5"/>
  <c r="P23" i="5"/>
  <c r="O23" i="5"/>
  <c r="N23" i="5"/>
  <c r="M23" i="5"/>
  <c r="L23" i="5"/>
  <c r="K23" i="5"/>
  <c r="J23" i="5"/>
  <c r="I23" i="5"/>
  <c r="H23" i="5"/>
  <c r="S22" i="5"/>
  <c r="R22" i="5"/>
  <c r="Q22" i="5"/>
  <c r="P22" i="5"/>
  <c r="O22" i="5"/>
  <c r="N22" i="5"/>
  <c r="M22" i="5"/>
  <c r="L22" i="5"/>
  <c r="K22" i="5"/>
  <c r="J22" i="5"/>
  <c r="I22" i="5"/>
  <c r="H22" i="5"/>
  <c r="S21" i="5"/>
  <c r="R21" i="5"/>
  <c r="Q21" i="5"/>
  <c r="P21" i="5"/>
  <c r="O21" i="5"/>
  <c r="N21" i="5"/>
  <c r="M21" i="5"/>
  <c r="L21" i="5"/>
  <c r="K21" i="5"/>
  <c r="J21" i="5"/>
  <c r="I21" i="5"/>
  <c r="H21" i="5"/>
  <c r="S20" i="5"/>
  <c r="R20" i="5"/>
  <c r="Q20" i="5"/>
  <c r="P20" i="5"/>
  <c r="O20" i="5"/>
  <c r="N20" i="5"/>
  <c r="M20" i="5"/>
  <c r="L20" i="5"/>
  <c r="K20" i="5"/>
  <c r="J20" i="5"/>
  <c r="I20" i="5"/>
  <c r="H20" i="5"/>
  <c r="S18" i="5"/>
  <c r="R18" i="5"/>
  <c r="Q18" i="5"/>
  <c r="P18" i="5"/>
  <c r="O18" i="5"/>
  <c r="N18" i="5"/>
  <c r="M18" i="5"/>
  <c r="L18" i="5"/>
  <c r="K18" i="5"/>
  <c r="J18" i="5"/>
  <c r="I18" i="5"/>
  <c r="H18" i="5"/>
  <c r="I15" i="5"/>
  <c r="J15" i="5"/>
  <c r="K15" i="5"/>
  <c r="L15" i="5"/>
  <c r="M15" i="5"/>
  <c r="N15" i="5"/>
  <c r="O15" i="5"/>
  <c r="P15" i="5"/>
  <c r="Q15" i="5"/>
  <c r="R15" i="5"/>
  <c r="S15" i="5"/>
  <c r="H15" i="5"/>
  <c r="L35" i="5" l="1"/>
  <c r="M35" i="5" s="1"/>
  <c r="N35" i="5" s="1"/>
  <c r="O35" i="5" s="1"/>
  <c r="P35" i="5" s="1"/>
  <c r="Q35" i="5" s="1"/>
  <c r="R35" i="5" s="1"/>
  <c r="S35" i="5" s="1"/>
  <c r="C29" i="6" l="1"/>
  <c r="C30" i="6"/>
  <c r="C31" i="6"/>
  <c r="C32" i="6"/>
  <c r="C33" i="6"/>
  <c r="C18" i="6"/>
  <c r="C16" i="6"/>
  <c r="C15" i="6"/>
  <c r="D31" i="5"/>
  <c r="E31" i="5"/>
  <c r="C30" i="5"/>
  <c r="C31" i="5" s="1"/>
  <c r="B30" i="5"/>
  <c r="C29" i="5"/>
  <c r="C22" i="7"/>
  <c r="E24" i="7"/>
  <c r="D24" i="7"/>
  <c r="D21" i="7"/>
  <c r="E21" i="7"/>
  <c r="C20" i="7"/>
  <c r="C21" i="7" s="1"/>
  <c r="C19" i="7"/>
  <c r="D13" i="7"/>
  <c r="E13" i="7"/>
  <c r="D14" i="7"/>
  <c r="E14" i="7"/>
  <c r="D15" i="7"/>
  <c r="E15" i="7"/>
  <c r="D16" i="7"/>
  <c r="E16" i="7"/>
  <c r="D17" i="7"/>
  <c r="E17" i="7"/>
  <c r="D18" i="7"/>
  <c r="E18" i="7"/>
  <c r="C13" i="7"/>
  <c r="C14" i="7"/>
  <c r="C15" i="7"/>
  <c r="C16" i="7"/>
  <c r="C12" i="7"/>
  <c r="C11" i="7"/>
  <c r="D10" i="7"/>
  <c r="E10" i="7"/>
  <c r="C10" i="7"/>
  <c r="D9" i="7"/>
  <c r="E9" i="7"/>
  <c r="C9" i="7"/>
  <c r="D7" i="7"/>
  <c r="E7" i="7"/>
  <c r="C7" i="7"/>
  <c r="C16" i="3"/>
  <c r="C27" i="5"/>
  <c r="C18" i="7" s="1"/>
  <c r="C20" i="5"/>
  <c r="C26" i="5"/>
  <c r="C17" i="7" s="1"/>
  <c r="E29" i="6" l="1"/>
  <c r="C17" i="6"/>
  <c r="D15" i="6" s="1"/>
  <c r="C23" i="6"/>
  <c r="C24" i="6" s="1"/>
  <c r="C25" i="6" s="1"/>
  <c r="C25" i="7"/>
  <c r="C26" i="7" s="1"/>
  <c r="C22" i="8" s="1"/>
  <c r="C23" i="8" s="1"/>
  <c r="C25" i="8" s="1"/>
  <c r="D21" i="5"/>
  <c r="D12" i="7" s="1"/>
  <c r="D25" i="7" s="1"/>
  <c r="D26" i="7" s="1"/>
  <c r="D22" i="8" s="1"/>
  <c r="D23" i="8" s="1"/>
  <c r="E21" i="5"/>
  <c r="E12" i="7" s="1"/>
  <c r="E25" i="7" s="1"/>
  <c r="E26" i="7" s="1"/>
  <c r="E22" i="8" s="1"/>
  <c r="E23" i="8" s="1"/>
  <c r="B28" i="5"/>
  <c r="C7" i="4"/>
  <c r="C6" i="4"/>
  <c r="C5" i="4"/>
  <c r="H5" i="3"/>
  <c r="D25" i="8" l="1"/>
  <c r="D24" i="8"/>
  <c r="H24" i="8" s="1"/>
  <c r="E25" i="8"/>
  <c r="E24" i="8"/>
  <c r="I24" i="8" s="1"/>
  <c r="D27" i="7"/>
  <c r="I7" i="7" s="1"/>
  <c r="I6" i="7"/>
  <c r="E27" i="7"/>
  <c r="J7" i="7" s="1"/>
  <c r="J6" i="7"/>
  <c r="C27" i="7"/>
  <c r="H6" i="7"/>
  <c r="C9" i="4"/>
  <c r="C18" i="5" s="1"/>
  <c r="D6" i="4"/>
  <c r="E6" i="4" s="1"/>
  <c r="D7" i="4"/>
  <c r="E7" i="4" s="1"/>
  <c r="D5" i="4"/>
  <c r="E5" i="4" s="1"/>
  <c r="H6" i="3"/>
  <c r="I6" i="3"/>
  <c r="J6" i="3"/>
  <c r="K6" i="3"/>
  <c r="L6" i="3"/>
  <c r="M6" i="3"/>
  <c r="N6" i="3"/>
  <c r="O6" i="3"/>
  <c r="P6" i="3"/>
  <c r="Q6" i="3"/>
  <c r="R6" i="3"/>
  <c r="S6" i="3"/>
  <c r="H7" i="3"/>
  <c r="I7" i="3"/>
  <c r="J7" i="3"/>
  <c r="K7" i="3"/>
  <c r="L7" i="3"/>
  <c r="M7" i="3"/>
  <c r="N7" i="3"/>
  <c r="O7" i="3"/>
  <c r="P7" i="3"/>
  <c r="Q7" i="3"/>
  <c r="R7" i="3"/>
  <c r="S7" i="3"/>
  <c r="I5" i="3"/>
  <c r="J5" i="3"/>
  <c r="K5" i="3"/>
  <c r="L5" i="3"/>
  <c r="M5" i="3"/>
  <c r="N5" i="3"/>
  <c r="O5" i="3"/>
  <c r="P5" i="3"/>
  <c r="Q5" i="3"/>
  <c r="R5" i="3"/>
  <c r="S5" i="3"/>
  <c r="T4" i="3"/>
  <c r="D6" i="3"/>
  <c r="E6" i="3"/>
  <c r="D7" i="3"/>
  <c r="E7" i="3" s="1"/>
  <c r="D5" i="3"/>
  <c r="D8" i="3" s="1"/>
  <c r="D15" i="5" s="1"/>
  <c r="D16" i="5" s="1"/>
  <c r="C8" i="3"/>
  <c r="C15" i="5" s="1"/>
  <c r="C16" i="5" l="1"/>
  <c r="H7" i="7"/>
  <c r="C21" i="6"/>
  <c r="C22" i="6" s="1"/>
  <c r="T7" i="3"/>
  <c r="T6" i="3"/>
  <c r="C15" i="3"/>
  <c r="C11" i="3" s="1"/>
  <c r="D11" i="3" s="1"/>
  <c r="E11" i="3" s="1"/>
  <c r="T5" i="3"/>
  <c r="C10" i="3"/>
  <c r="D10" i="3" s="1"/>
  <c r="E9" i="4"/>
  <c r="E18" i="5" s="1"/>
  <c r="D9" i="4"/>
  <c r="D18" i="5" s="1"/>
  <c r="E5" i="3"/>
  <c r="E8" i="3" s="1"/>
  <c r="E15" i="5" s="1"/>
  <c r="E16" i="5" s="1"/>
  <c r="E9" i="2"/>
  <c r="F9" i="2" s="1"/>
  <c r="G9" i="2" s="1"/>
  <c r="H9" i="2" s="1"/>
  <c r="E8" i="2"/>
  <c r="F8" i="2" s="1"/>
  <c r="G8" i="2" s="1"/>
  <c r="H8" i="2" s="1"/>
  <c r="I8" i="2" s="1"/>
  <c r="E7" i="2"/>
  <c r="F7" i="2" s="1"/>
  <c r="G7" i="2" s="1"/>
  <c r="H7" i="2" s="1"/>
  <c r="I7" i="2" s="1"/>
  <c r="E6" i="2"/>
  <c r="F6" i="2" s="1"/>
  <c r="G6" i="2" s="1"/>
  <c r="H6" i="2" s="1"/>
  <c r="I6" i="2" s="1"/>
  <c r="D10" i="2"/>
  <c r="H10" i="2" l="1"/>
  <c r="I10" i="2" s="1"/>
  <c r="C10" i="2" s="1"/>
  <c r="F33" i="6"/>
  <c r="D33" i="6" s="1"/>
  <c r="F29" i="6"/>
  <c r="D29" i="6" s="1"/>
  <c r="F30" i="6"/>
  <c r="D30" i="6" s="1"/>
  <c r="F32" i="6"/>
  <c r="D32" i="6" s="1"/>
  <c r="F31" i="6"/>
  <c r="D31" i="6" s="1"/>
  <c r="C12" i="3"/>
  <c r="D12" i="3" s="1"/>
  <c r="E12" i="3" s="1"/>
  <c r="E10" i="3"/>
  <c r="E13" i="3" s="1"/>
  <c r="E10" i="2"/>
  <c r="F10" i="2"/>
  <c r="G10" i="2"/>
  <c r="I9" i="2"/>
  <c r="E46" i="1"/>
  <c r="C42" i="1"/>
  <c r="D40" i="1" s="1"/>
  <c r="C36" i="1"/>
  <c r="D34" i="1" s="1"/>
  <c r="C28" i="1"/>
  <c r="C30" i="1" s="1"/>
  <c r="C27" i="1"/>
  <c r="C20" i="1"/>
  <c r="C24" i="1" s="1"/>
  <c r="C14" i="1"/>
  <c r="C23" i="1" s="1"/>
  <c r="D35" i="1" l="1"/>
  <c r="D6" i="1"/>
  <c r="D13" i="1"/>
  <c r="D12" i="1"/>
  <c r="D7" i="1"/>
  <c r="D13" i="3"/>
  <c r="C13" i="3"/>
  <c r="C28" i="5" s="1"/>
  <c r="C19" i="5" s="1"/>
  <c r="E28" i="5"/>
  <c r="D11" i="1"/>
  <c r="D19" i="1"/>
  <c r="D36" i="1"/>
  <c r="E36" i="1" s="1"/>
  <c r="K16" i="1" s="1"/>
  <c r="C43" i="1"/>
  <c r="C44" i="1" s="1"/>
  <c r="C45" i="1" s="1"/>
  <c r="D10" i="1"/>
  <c r="D42" i="1"/>
  <c r="E42" i="1" s="1"/>
  <c r="D9" i="1"/>
  <c r="D16" i="1"/>
  <c r="D39" i="1"/>
  <c r="D17" i="1"/>
  <c r="D41" i="1"/>
  <c r="D18" i="1"/>
  <c r="D8" i="1"/>
  <c r="C21" i="1"/>
  <c r="C46" i="1" s="1"/>
  <c r="C31" i="1"/>
  <c r="C25" i="1"/>
  <c r="E19" i="5" l="1"/>
  <c r="E32" i="5" s="1"/>
  <c r="E33" i="5" s="1"/>
  <c r="D28" i="5"/>
  <c r="E41" i="1"/>
  <c r="E39" i="1"/>
  <c r="D20" i="1"/>
  <c r="E20" i="1" s="1"/>
  <c r="E35" i="1"/>
  <c r="J16" i="1"/>
  <c r="E40" i="1"/>
  <c r="D14" i="1"/>
  <c r="E14" i="1" s="1"/>
  <c r="E34" i="1"/>
  <c r="D19" i="5" l="1"/>
  <c r="D32" i="5" s="1"/>
  <c r="D33" i="5" s="1"/>
  <c r="E17" i="1"/>
  <c r="I16" i="1"/>
  <c r="E24" i="1"/>
  <c r="E18" i="1"/>
  <c r="E16" i="1"/>
  <c r="E28" i="1" s="1"/>
  <c r="C34" i="5" s="1"/>
  <c r="E8" i="1"/>
  <c r="E43" i="1"/>
  <c r="E44" i="1" s="1"/>
  <c r="E45" i="1" s="1"/>
  <c r="F45" i="1" s="1"/>
  <c r="H16" i="1"/>
  <c r="E7" i="1"/>
  <c r="E12" i="1"/>
  <c r="E9" i="1"/>
  <c r="E13" i="1"/>
  <c r="E6" i="1"/>
  <c r="E11" i="1"/>
  <c r="E23" i="1"/>
  <c r="E25" i="1" s="1"/>
  <c r="E19" i="1"/>
  <c r="E27" i="1" s="1"/>
  <c r="E10" i="1"/>
  <c r="C32" i="5" l="1"/>
  <c r="E31" i="1"/>
  <c r="E30" i="1"/>
  <c r="C33" i="5" l="1"/>
  <c r="D38" i="5"/>
  <c r="C35" i="5" l="1"/>
  <c r="D35" i="5" l="1"/>
  <c r="E35" i="5" s="1"/>
  <c r="C19" i="8" l="1"/>
  <c r="C24" i="8" s="1"/>
  <c r="G24" i="8" s="1"/>
</calcChain>
</file>

<file path=xl/sharedStrings.xml><?xml version="1.0" encoding="utf-8"?>
<sst xmlns="http://schemas.openxmlformats.org/spreadsheetml/2006/main" count="269" uniqueCount="174">
  <si>
    <t xml:space="preserve">Start up requirements </t>
  </si>
  <si>
    <t xml:space="preserve">Start up expenses </t>
  </si>
  <si>
    <t xml:space="preserve">Legal </t>
  </si>
  <si>
    <t>Stationery etc</t>
  </si>
  <si>
    <t>Brochures</t>
  </si>
  <si>
    <t>Consultants</t>
  </si>
  <si>
    <t>Insurance</t>
  </si>
  <si>
    <t>Remodeling</t>
  </si>
  <si>
    <t>Other</t>
  </si>
  <si>
    <t xml:space="preserve">Java Expenses </t>
  </si>
  <si>
    <t xml:space="preserve">Total start up expenses </t>
  </si>
  <si>
    <t xml:space="preserve">Start up assets </t>
  </si>
  <si>
    <t xml:space="preserve">Cash Required	</t>
  </si>
  <si>
    <t xml:space="preserve">Start-up Inventory	</t>
  </si>
  <si>
    <t xml:space="preserve">Other Current Assets	</t>
  </si>
  <si>
    <t xml:space="preserve">Long-term Assets	</t>
  </si>
  <si>
    <t xml:space="preserve">TOTAL ASSETS	</t>
  </si>
  <si>
    <t xml:space="preserve">Total requirement </t>
  </si>
  <si>
    <t>START-UP FUNDING</t>
  </si>
  <si>
    <t xml:space="preserve">Start-up Expenses to Fund	</t>
  </si>
  <si>
    <t xml:space="preserve">Start-up Assets to Fund	</t>
  </si>
  <si>
    <t xml:space="preserve">TOTAL FUNDING REQUIRED	</t>
  </si>
  <si>
    <t>Assets</t>
  </si>
  <si>
    <t xml:space="preserve">Non-cash Assets from Start-up	</t>
  </si>
  <si>
    <t xml:space="preserve">Cash Requirements from Start-up	</t>
  </si>
  <si>
    <t xml:space="preserve">Additional Cash Raised	</t>
  </si>
  <si>
    <t xml:space="preserve">Cash Balance on Starting Date	</t>
  </si>
  <si>
    <t xml:space="preserve">Liabilities and Capital	</t>
  </si>
  <si>
    <t>Liabilities</t>
  </si>
  <si>
    <t xml:space="preserve">Current Borrowing	</t>
  </si>
  <si>
    <t xml:space="preserve">Long-term Liabilities	</t>
  </si>
  <si>
    <t xml:space="preserve">TOTAL LIABILITIES	</t>
  </si>
  <si>
    <t>Capital</t>
  </si>
  <si>
    <t xml:space="preserve">Planned Investment	</t>
  </si>
  <si>
    <t>Mohamed Amer</t>
  </si>
  <si>
    <t>Mostafa Amer</t>
  </si>
  <si>
    <t xml:space="preserve">Dalia Nasr </t>
  </si>
  <si>
    <t>TOTAL PLANNED INVESTMENT</t>
  </si>
  <si>
    <t>Loss at Start-up (Start-up Expenses)</t>
  </si>
  <si>
    <t xml:space="preserve">TOTAL CAPITAL	</t>
  </si>
  <si>
    <t xml:space="preserve">TOTAL CAPITAL AND LIABILITIES	</t>
  </si>
  <si>
    <t xml:space="preserve">Total Funding	</t>
  </si>
  <si>
    <t>%</t>
  </si>
  <si>
    <t xml:space="preserve">Expenses </t>
  </si>
  <si>
    <t xml:space="preserve">Assets </t>
  </si>
  <si>
    <t xml:space="preserve">Investiment </t>
  </si>
  <si>
    <t>Loan</t>
  </si>
  <si>
    <t>Market analysis</t>
  </si>
  <si>
    <t xml:space="preserve">Potential Customers	</t>
  </si>
  <si>
    <t>Growth</t>
  </si>
  <si>
    <t xml:space="preserve">Students and Faculty	</t>
  </si>
  <si>
    <t xml:space="preserve">Office workers	</t>
  </si>
  <si>
    <t>Total</t>
  </si>
  <si>
    <t>Compund Risedent</t>
  </si>
  <si>
    <t>CAGR(Compound annual Growth rate)</t>
  </si>
  <si>
    <t xml:space="preserve">Sales forecast </t>
  </si>
  <si>
    <t>Year1</t>
  </si>
  <si>
    <t>Year2</t>
  </si>
  <si>
    <t>Year3</t>
  </si>
  <si>
    <t xml:space="preserve">Coffee beverages	</t>
  </si>
  <si>
    <t xml:space="preserve">Coffee beans	</t>
  </si>
  <si>
    <t xml:space="preserve">Pastries, etc.	</t>
  </si>
  <si>
    <t xml:space="preserve">TOTAL SALES	</t>
  </si>
  <si>
    <t xml:space="preserve">Direct Cost of Sales	</t>
  </si>
  <si>
    <t xml:space="preserve">Subtotal Direct Cost of Sales	</t>
  </si>
  <si>
    <t xml:space="preserve">Sales Monthly </t>
  </si>
  <si>
    <t>Month1</t>
  </si>
  <si>
    <t>Month2</t>
  </si>
  <si>
    <t>Month3</t>
  </si>
  <si>
    <t>Month4</t>
  </si>
  <si>
    <t>Month5</t>
  </si>
  <si>
    <t>Month6</t>
  </si>
  <si>
    <t>Month7</t>
  </si>
  <si>
    <t>Month8</t>
  </si>
  <si>
    <t>Month9</t>
  </si>
  <si>
    <t>Month10</t>
  </si>
  <si>
    <t>Month11</t>
  </si>
  <si>
    <t>Month12</t>
  </si>
  <si>
    <t xml:space="preserve">Personel Plan </t>
  </si>
  <si>
    <t>Manager</t>
  </si>
  <si>
    <t>Barista</t>
  </si>
  <si>
    <t xml:space="preserve">Total People </t>
  </si>
  <si>
    <t>Total payroll</t>
  </si>
  <si>
    <t>Net cash flow +</t>
  </si>
  <si>
    <t xml:space="preserve">Start up required cash </t>
  </si>
  <si>
    <t xml:space="preserve">Fixed Cost </t>
  </si>
  <si>
    <t>Varriable cost</t>
  </si>
  <si>
    <t>Fixed</t>
  </si>
  <si>
    <t xml:space="preserve">Shift supervisors </t>
  </si>
  <si>
    <t xml:space="preserve">Cash balance = </t>
  </si>
  <si>
    <t xml:space="preserve">General Assumtions </t>
  </si>
  <si>
    <t xml:space="preserve">Current Interest Rate	</t>
  </si>
  <si>
    <t xml:space="preserve">Long-term Interest Rate	</t>
  </si>
  <si>
    <t xml:space="preserve">Tax Rate	</t>
  </si>
  <si>
    <t xml:space="preserve">Cash flow </t>
  </si>
  <si>
    <t xml:space="preserve">Cash received </t>
  </si>
  <si>
    <t xml:space="preserve">cash from operation </t>
  </si>
  <si>
    <t xml:space="preserve">cash sales </t>
  </si>
  <si>
    <t xml:space="preserve">Bill payment </t>
  </si>
  <si>
    <t xml:space="preserve">Net cash flow </t>
  </si>
  <si>
    <t xml:space="preserve">Cash balance </t>
  </si>
  <si>
    <t xml:space="preserve">Net Cash flow </t>
  </si>
  <si>
    <t>Cash In hand</t>
  </si>
  <si>
    <t>JAN.2020</t>
  </si>
  <si>
    <t>FEB.2020</t>
  </si>
  <si>
    <t>March.2020</t>
  </si>
  <si>
    <t>April.2020</t>
  </si>
  <si>
    <t>May.2020</t>
  </si>
  <si>
    <t>June.2020</t>
  </si>
  <si>
    <t>July.2020</t>
  </si>
  <si>
    <t>AUG.2020</t>
  </si>
  <si>
    <t>SEP.2020</t>
  </si>
  <si>
    <t>OCT.2020</t>
  </si>
  <si>
    <t>NOV.2020</t>
  </si>
  <si>
    <t>DEC.2020</t>
  </si>
  <si>
    <t>Payroll</t>
  </si>
  <si>
    <t xml:space="preserve">Lease  </t>
  </si>
  <si>
    <t xml:space="preserve">Lease </t>
  </si>
  <si>
    <t>Profit and Loss</t>
  </si>
  <si>
    <t>Total sales</t>
  </si>
  <si>
    <t>Revenue</t>
  </si>
  <si>
    <t>Cost</t>
  </si>
  <si>
    <t xml:space="preserve">Total sales cost </t>
  </si>
  <si>
    <t xml:space="preserve">Total payroll </t>
  </si>
  <si>
    <t>Interest rate</t>
  </si>
  <si>
    <t xml:space="preserve">other indirects </t>
  </si>
  <si>
    <t xml:space="preserve">Total Cost </t>
  </si>
  <si>
    <t>Net profit</t>
  </si>
  <si>
    <t>Net profit %</t>
  </si>
  <si>
    <t xml:space="preserve">Depreciation </t>
  </si>
  <si>
    <t xml:space="preserve">TAX </t>
  </si>
  <si>
    <t>Cash-in</t>
  </si>
  <si>
    <t>cash-out</t>
  </si>
  <si>
    <t xml:space="preserve">Bowring </t>
  </si>
  <si>
    <t xml:space="preserve">Interest </t>
  </si>
  <si>
    <t xml:space="preserve">Total Cash out </t>
  </si>
  <si>
    <t xml:space="preserve">Category </t>
  </si>
  <si>
    <t>Fixed Cost</t>
  </si>
  <si>
    <t xml:space="preserve">Total Fixed Cost/Month </t>
  </si>
  <si>
    <t xml:space="preserve">Total varriable cost </t>
  </si>
  <si>
    <t>Selling price</t>
  </si>
  <si>
    <t xml:space="preserve">Contribution margin </t>
  </si>
  <si>
    <t xml:space="preserve">Break even </t>
  </si>
  <si>
    <t>Assume the price for the cub of coffee</t>
  </si>
  <si>
    <t xml:space="preserve">So the brea even unit is </t>
  </si>
  <si>
    <t xml:space="preserve">Price </t>
  </si>
  <si>
    <t>Production of coffee(cubs of coffee)</t>
  </si>
  <si>
    <t xml:space="preserve">Varriable cost </t>
  </si>
  <si>
    <t xml:space="preserve">The varriable cost of the cub is </t>
  </si>
  <si>
    <t xml:space="preserve">The total cost of the cub </t>
  </si>
  <si>
    <t xml:space="preserve">Cash flow for the first year </t>
  </si>
  <si>
    <t xml:space="preserve">Balance sheet </t>
  </si>
  <si>
    <t>Current cash (Cash balance)</t>
  </si>
  <si>
    <t xml:space="preserve">Inventory </t>
  </si>
  <si>
    <t xml:space="preserve">Long term assets </t>
  </si>
  <si>
    <t>Long term assets Cost (assumed for 3 years)</t>
  </si>
  <si>
    <t>Total long term assets</t>
  </si>
  <si>
    <t xml:space="preserve">Total Current assets </t>
  </si>
  <si>
    <t>Total assets</t>
  </si>
  <si>
    <t xml:space="preserve">Liability and capital </t>
  </si>
  <si>
    <t xml:space="preserve">Accounts payable </t>
  </si>
  <si>
    <t xml:space="preserve">Current Borrowing </t>
  </si>
  <si>
    <t xml:space="preserve">Long term liability </t>
  </si>
  <si>
    <t xml:space="preserve">Total liabilty </t>
  </si>
  <si>
    <t xml:space="preserve">Capital </t>
  </si>
  <si>
    <t xml:space="preserve">Paid in capital </t>
  </si>
  <si>
    <t xml:space="preserve">Total capital </t>
  </si>
  <si>
    <t xml:space="preserve">Total capital and liability </t>
  </si>
  <si>
    <t xml:space="preserve">Net worth </t>
  </si>
  <si>
    <t>Earning (Net profit)</t>
  </si>
  <si>
    <t xml:space="preserve">Sales </t>
  </si>
  <si>
    <t xml:space="preserve">Gross Margin </t>
  </si>
  <si>
    <t xml:space="preserve">Original Capital </t>
  </si>
  <si>
    <t xml:space="preserve">Net Worth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</si>
</sst>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(* #,##0.00_);_(* \(#,##0.00\);_(* &quot;-&quot;??_);_(@_)"/>
    <numFmt numFmtId="164" formatCode="[$EGP]\ #,##0.00_);\([$EGP]\ #,##0.00\)"/>
    <numFmt numFmtId="165" formatCode="_(* #,##0.0000_);_(* \(#,##0.0000\);_(* &quot;-&quot;??_);_(@_)"/>
    <numFmt numFmtId="166" formatCode="0.000"/>
    <numFmt numFmtId="167" formatCode="0.000%"/>
    <numFmt numFmtId="168" formatCode="_(* #,##0.0_);_(* \(#,##0.0\);_(* &quot;-&quot;??_);_(@_)"/>
    <numFmt numFmtId="169" formatCode="#.00,\ &quot;M&quot;"/>
  </numFmts>
  <fonts count="4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8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</fills>
  <borders count="11">
    <border>
      <left/>
      <right/>
      <top/>
      <bottom/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60">
    <xf numFmtId="0" fontId="0" fillId="0" borderId="0" xfId="0"/>
    <xf numFmtId="43" fontId="0" fillId="0" borderId="0" xfId="1" applyFont="1"/>
    <xf numFmtId="9" fontId="0" fillId="0" borderId="0" xfId="2" applyFont="1"/>
    <xf numFmtId="0" fontId="2" fillId="2" borderId="1" xfId="0" applyFont="1" applyFill="1" applyBorder="1"/>
    <xf numFmtId="0" fontId="0" fillId="0" borderId="2" xfId="0" applyBorder="1"/>
    <xf numFmtId="9" fontId="0" fillId="0" borderId="2" xfId="2" applyFont="1" applyBorder="1"/>
    <xf numFmtId="43" fontId="0" fillId="0" borderId="3" xfId="1" applyFont="1" applyBorder="1"/>
    <xf numFmtId="0" fontId="0" fillId="3" borderId="4" xfId="0" applyFill="1" applyBorder="1"/>
    <xf numFmtId="0" fontId="0" fillId="0" borderId="5" xfId="0" applyBorder="1"/>
    <xf numFmtId="9" fontId="0" fillId="0" borderId="5" xfId="2" applyFont="1" applyBorder="1"/>
    <xf numFmtId="43" fontId="0" fillId="0" borderId="6" xfId="1" applyFont="1" applyBorder="1"/>
    <xf numFmtId="0" fontId="0" fillId="0" borderId="4" xfId="0" applyBorder="1"/>
    <xf numFmtId="43" fontId="0" fillId="0" borderId="5" xfId="1" applyFont="1" applyBorder="1"/>
    <xf numFmtId="0" fontId="2" fillId="2" borderId="4" xfId="0" applyFont="1" applyFill="1" applyBorder="1"/>
    <xf numFmtId="43" fontId="2" fillId="2" borderId="5" xfId="1" applyFont="1" applyFill="1" applyBorder="1"/>
    <xf numFmtId="43" fontId="2" fillId="2" borderId="6" xfId="1" applyFont="1" applyFill="1" applyBorder="1"/>
    <xf numFmtId="3" fontId="0" fillId="0" borderId="5" xfId="0" applyNumberFormat="1" applyBorder="1"/>
    <xf numFmtId="0" fontId="2" fillId="4" borderId="4" xfId="0" applyFont="1" applyFill="1" applyBorder="1"/>
    <xf numFmtId="43" fontId="2" fillId="4" borderId="5" xfId="0" applyNumberFormat="1" applyFont="1" applyFill="1" applyBorder="1"/>
    <xf numFmtId="43" fontId="2" fillId="4" borderId="6" xfId="1" applyFont="1" applyFill="1" applyBorder="1"/>
    <xf numFmtId="0" fontId="0" fillId="2" borderId="5" xfId="0" applyFill="1" applyBorder="1"/>
    <xf numFmtId="0" fontId="0" fillId="0" borderId="4" xfId="0" applyFont="1" applyBorder="1"/>
    <xf numFmtId="43" fontId="0" fillId="0" borderId="5" xfId="0" applyNumberFormat="1" applyBorder="1"/>
    <xf numFmtId="3" fontId="2" fillId="2" borderId="6" xfId="0" applyNumberFormat="1" applyFont="1" applyFill="1" applyBorder="1"/>
    <xf numFmtId="3" fontId="2" fillId="2" borderId="5" xfId="0" applyNumberFormat="1" applyFont="1" applyFill="1" applyBorder="1"/>
    <xf numFmtId="43" fontId="0" fillId="0" borderId="6" xfId="0" applyNumberFormat="1" applyBorder="1"/>
    <xf numFmtId="3" fontId="2" fillId="4" borderId="5" xfId="0" applyNumberFormat="1" applyFont="1" applyFill="1" applyBorder="1"/>
    <xf numFmtId="3" fontId="2" fillId="4" borderId="6" xfId="0" applyNumberFormat="1" applyFont="1" applyFill="1" applyBorder="1"/>
    <xf numFmtId="0" fontId="2" fillId="4" borderId="7" xfId="0" applyFont="1" applyFill="1" applyBorder="1"/>
    <xf numFmtId="43" fontId="2" fillId="4" borderId="8" xfId="0" applyNumberFormat="1" applyFont="1" applyFill="1" applyBorder="1"/>
    <xf numFmtId="9" fontId="0" fillId="0" borderId="8" xfId="2" applyFont="1" applyBorder="1"/>
    <xf numFmtId="43" fontId="2" fillId="4" borderId="9" xfId="0" applyNumberFormat="1" applyFont="1" applyFill="1" applyBorder="1"/>
    <xf numFmtId="164" fontId="0" fillId="0" borderId="0" xfId="1" applyNumberFormat="1" applyFont="1"/>
    <xf numFmtId="0" fontId="2" fillId="5" borderId="0" xfId="0" applyFont="1" applyFill="1"/>
    <xf numFmtId="0" fontId="0" fillId="0" borderId="1" xfId="0" applyBorder="1"/>
    <xf numFmtId="0" fontId="2" fillId="5" borderId="2" xfId="0" applyFont="1" applyFill="1" applyBorder="1" applyAlignment="1">
      <alignment horizontal="center" vertical="center"/>
    </xf>
    <xf numFmtId="0" fontId="2" fillId="5" borderId="7" xfId="0" applyFont="1" applyFill="1" applyBorder="1"/>
    <xf numFmtId="43" fontId="0" fillId="0" borderId="8" xfId="0" applyNumberFormat="1" applyBorder="1"/>
    <xf numFmtId="43" fontId="0" fillId="0" borderId="0" xfId="1" applyFont="1" applyFill="1" applyBorder="1"/>
    <xf numFmtId="43" fontId="0" fillId="0" borderId="0" xfId="0" applyNumberFormat="1"/>
    <xf numFmtId="165" fontId="0" fillId="0" borderId="0" xfId="0" applyNumberFormat="1"/>
    <xf numFmtId="10" fontId="0" fillId="0" borderId="5" xfId="2" applyNumberFormat="1" applyFont="1" applyBorder="1" applyAlignment="1">
      <alignment horizontal="center" vertical="center"/>
    </xf>
    <xf numFmtId="10" fontId="0" fillId="0" borderId="8" xfId="2" applyNumberFormat="1" applyFont="1" applyBorder="1" applyAlignment="1">
      <alignment horizontal="center" vertical="center"/>
    </xf>
    <xf numFmtId="9" fontId="2" fillId="5" borderId="0" xfId="2" applyFont="1" applyFill="1" applyAlignment="1">
      <alignment vertical="center" wrapText="1"/>
    </xf>
    <xf numFmtId="9" fontId="0" fillId="0" borderId="3" xfId="2" applyFont="1" applyBorder="1"/>
    <xf numFmtId="9" fontId="0" fillId="0" borderId="6" xfId="2" applyFont="1" applyBorder="1"/>
    <xf numFmtId="10" fontId="0" fillId="0" borderId="6" xfId="2" applyNumberFormat="1" applyFont="1" applyBorder="1"/>
    <xf numFmtId="10" fontId="0" fillId="0" borderId="9" xfId="2" applyNumberFormat="1" applyFont="1" applyBorder="1"/>
    <xf numFmtId="0" fontId="0" fillId="0" borderId="5" xfId="0" applyBorder="1" applyAlignment="1">
      <alignment horizontal="center" vertical="center"/>
    </xf>
    <xf numFmtId="3" fontId="0" fillId="0" borderId="0" xfId="0" applyNumberFormat="1"/>
    <xf numFmtId="166" fontId="0" fillId="0" borderId="0" xfId="0" applyNumberFormat="1"/>
    <xf numFmtId="0" fontId="2" fillId="2" borderId="0" xfId="0" applyFont="1" applyFill="1" applyAlignment="1">
      <alignment horizontal="center" vertical="center"/>
    </xf>
    <xf numFmtId="0" fontId="2" fillId="7" borderId="0" xfId="0" applyFont="1" applyFill="1" applyAlignment="1">
      <alignment horizontal="center" vertical="center"/>
    </xf>
    <xf numFmtId="0" fontId="0" fillId="8" borderId="0" xfId="0" applyFill="1"/>
    <xf numFmtId="0" fontId="2" fillId="8" borderId="0" xfId="0" applyFont="1" applyFill="1" applyAlignment="1">
      <alignment horizontal="center" vertical="center"/>
    </xf>
    <xf numFmtId="3" fontId="2" fillId="8" borderId="0" xfId="0" applyNumberFormat="1" applyFont="1" applyFill="1"/>
    <xf numFmtId="43" fontId="0" fillId="8" borderId="0" xfId="1" applyFont="1" applyFill="1"/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0" fillId="0" borderId="6" xfId="0" applyBorder="1"/>
    <xf numFmtId="0" fontId="2" fillId="3" borderId="4" xfId="0" applyFont="1" applyFill="1" applyBorder="1"/>
    <xf numFmtId="3" fontId="2" fillId="3" borderId="5" xfId="0" applyNumberFormat="1" applyFont="1" applyFill="1" applyBorder="1"/>
    <xf numFmtId="3" fontId="2" fillId="3" borderId="6" xfId="0" applyNumberFormat="1" applyFont="1" applyFill="1" applyBorder="1"/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3" borderId="7" xfId="0" applyFont="1" applyFill="1" applyBorder="1"/>
    <xf numFmtId="3" fontId="2" fillId="3" borderId="8" xfId="0" applyNumberFormat="1" applyFont="1" applyFill="1" applyBorder="1"/>
    <xf numFmtId="3" fontId="2" fillId="3" borderId="9" xfId="0" applyNumberFormat="1" applyFont="1" applyFill="1" applyBorder="1"/>
    <xf numFmtId="0" fontId="2" fillId="6" borderId="10" xfId="0" applyFont="1" applyFill="1" applyBorder="1"/>
    <xf numFmtId="0" fontId="2" fillId="3" borderId="5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2" fillId="8" borderId="4" xfId="0" applyFont="1" applyFill="1" applyBorder="1" applyAlignment="1">
      <alignment horizontal="center" vertical="center"/>
    </xf>
    <xf numFmtId="43" fontId="0" fillId="0" borderId="5" xfId="1" applyFont="1" applyBorder="1" applyAlignment="1">
      <alignment horizontal="center" vertical="center"/>
    </xf>
    <xf numFmtId="43" fontId="0" fillId="0" borderId="6" xfId="1" applyFont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2" fillId="3" borderId="7" xfId="0" applyFont="1" applyFill="1" applyBorder="1" applyAlignment="1">
      <alignment horizontal="center" vertical="center"/>
    </xf>
    <xf numFmtId="43" fontId="2" fillId="3" borderId="8" xfId="1" applyFont="1" applyFill="1" applyBorder="1" applyAlignment="1">
      <alignment horizontal="center" vertical="center"/>
    </xf>
    <xf numFmtId="43" fontId="2" fillId="3" borderId="9" xfId="1" applyFont="1" applyFill="1" applyBorder="1" applyAlignment="1">
      <alignment horizontal="center" vertical="center"/>
    </xf>
    <xf numFmtId="0" fontId="0" fillId="0" borderId="4" xfId="0" applyBorder="1" applyAlignment="1">
      <alignment horizontal="left" vertical="center"/>
    </xf>
    <xf numFmtId="0" fontId="2" fillId="0" borderId="0" xfId="0" applyFont="1"/>
    <xf numFmtId="0" fontId="0" fillId="2" borderId="0" xfId="0" applyFill="1"/>
    <xf numFmtId="0" fontId="0" fillId="0" borderId="3" xfId="0" applyBorder="1"/>
    <xf numFmtId="0" fontId="2" fillId="7" borderId="4" xfId="0" applyFont="1" applyFill="1" applyBorder="1"/>
    <xf numFmtId="0" fontId="2" fillId="7" borderId="7" xfId="0" applyFont="1" applyFill="1" applyBorder="1"/>
    <xf numFmtId="0" fontId="2" fillId="7" borderId="5" xfId="0" applyFont="1" applyFill="1" applyBorder="1" applyAlignment="1">
      <alignment horizontal="center" vertical="center"/>
    </xf>
    <xf numFmtId="0" fontId="2" fillId="7" borderId="6" xfId="0" applyFont="1" applyFill="1" applyBorder="1" applyAlignment="1">
      <alignment horizontal="center" vertical="center"/>
    </xf>
    <xf numFmtId="9" fontId="0" fillId="0" borderId="5" xfId="2" applyFont="1" applyBorder="1" applyAlignment="1">
      <alignment horizontal="center" vertical="center"/>
    </xf>
    <xf numFmtId="9" fontId="0" fillId="0" borderId="6" xfId="2" applyFont="1" applyBorder="1" applyAlignment="1">
      <alignment horizontal="center" vertical="center"/>
    </xf>
    <xf numFmtId="9" fontId="0" fillId="0" borderId="8" xfId="2" applyFont="1" applyBorder="1" applyAlignment="1">
      <alignment horizontal="center" vertical="center"/>
    </xf>
    <xf numFmtId="9" fontId="0" fillId="0" borderId="9" xfId="2" applyFont="1" applyBorder="1" applyAlignment="1">
      <alignment horizontal="center" vertical="center"/>
    </xf>
    <xf numFmtId="43" fontId="2" fillId="7" borderId="0" xfId="0" applyNumberFormat="1" applyFont="1" applyFill="1"/>
    <xf numFmtId="3" fontId="0" fillId="0" borderId="6" xfId="0" applyNumberFormat="1" applyBorder="1"/>
    <xf numFmtId="3" fontId="2" fillId="7" borderId="5" xfId="0" applyNumberFormat="1" applyFont="1" applyFill="1" applyBorder="1"/>
    <xf numFmtId="3" fontId="2" fillId="7" borderId="6" xfId="0" applyNumberFormat="1" applyFont="1" applyFill="1" applyBorder="1"/>
    <xf numFmtId="0" fontId="0" fillId="9" borderId="4" xfId="0" applyFill="1" applyBorder="1"/>
    <xf numFmtId="3" fontId="0" fillId="9" borderId="5" xfId="0" applyNumberFormat="1" applyFill="1" applyBorder="1"/>
    <xf numFmtId="3" fontId="0" fillId="9" borderId="6" xfId="0" applyNumberFormat="1" applyFill="1" applyBorder="1"/>
    <xf numFmtId="0" fontId="0" fillId="10" borderId="4" xfId="0" applyFill="1" applyBorder="1"/>
    <xf numFmtId="0" fontId="0" fillId="10" borderId="7" xfId="0" applyFill="1" applyBorder="1"/>
    <xf numFmtId="0" fontId="2" fillId="10" borderId="4" xfId="0" applyFont="1" applyFill="1" applyBorder="1"/>
    <xf numFmtId="3" fontId="2" fillId="10" borderId="5" xfId="0" applyNumberFormat="1" applyFont="1" applyFill="1" applyBorder="1"/>
    <xf numFmtId="3" fontId="2" fillId="10" borderId="6" xfId="0" applyNumberFormat="1" applyFont="1" applyFill="1" applyBorder="1"/>
    <xf numFmtId="0" fontId="0" fillId="10" borderId="0" xfId="0" applyFill="1"/>
    <xf numFmtId="10" fontId="0" fillId="0" borderId="0" xfId="2" applyNumberFormat="1" applyFont="1"/>
    <xf numFmtId="0" fontId="0" fillId="11" borderId="4" xfId="0" applyFill="1" applyBorder="1"/>
    <xf numFmtId="0" fontId="0" fillId="0" borderId="6" xfId="0" applyBorder="1" applyAlignment="1">
      <alignment horizontal="center" vertical="center"/>
    </xf>
    <xf numFmtId="0" fontId="0" fillId="12" borderId="4" xfId="0" applyFill="1" applyBorder="1"/>
    <xf numFmtId="43" fontId="0" fillId="12" borderId="5" xfId="1" applyFont="1" applyFill="1" applyBorder="1"/>
    <xf numFmtId="43" fontId="0" fillId="12" borderId="6" xfId="1" applyFont="1" applyFill="1" applyBorder="1"/>
    <xf numFmtId="43" fontId="0" fillId="10" borderId="5" xfId="1" applyFont="1" applyFill="1" applyBorder="1"/>
    <xf numFmtId="43" fontId="0" fillId="10" borderId="6" xfId="1" applyFont="1" applyFill="1" applyBorder="1"/>
    <xf numFmtId="10" fontId="0" fillId="10" borderId="8" xfId="2" applyNumberFormat="1" applyFont="1" applyFill="1" applyBorder="1"/>
    <xf numFmtId="10" fontId="0" fillId="10" borderId="9" xfId="2" applyNumberFormat="1" applyFont="1" applyFill="1" applyBorder="1"/>
    <xf numFmtId="0" fontId="2" fillId="7" borderId="4" xfId="0" applyFont="1" applyFill="1" applyBorder="1" applyAlignment="1">
      <alignment horizontal="left"/>
    </xf>
    <xf numFmtId="10" fontId="0" fillId="0" borderId="0" xfId="0" applyNumberFormat="1"/>
    <xf numFmtId="43" fontId="0" fillId="2" borderId="0" xfId="1" applyFont="1" applyFill="1"/>
    <xf numFmtId="43" fontId="2" fillId="0" borderId="0" xfId="1" applyFont="1"/>
    <xf numFmtId="167" fontId="0" fillId="0" borderId="0" xfId="2" applyNumberFormat="1" applyFont="1"/>
    <xf numFmtId="168" fontId="2" fillId="10" borderId="7" xfId="1" applyNumberFormat="1" applyFont="1" applyFill="1" applyBorder="1"/>
    <xf numFmtId="168" fontId="2" fillId="10" borderId="8" xfId="1" applyNumberFormat="1" applyFont="1" applyFill="1" applyBorder="1"/>
    <xf numFmtId="168" fontId="2" fillId="10" borderId="9" xfId="1" applyNumberFormat="1" applyFont="1" applyFill="1" applyBorder="1"/>
    <xf numFmtId="168" fontId="0" fillId="0" borderId="0" xfId="1" applyNumberFormat="1" applyFont="1"/>
    <xf numFmtId="0" fontId="0" fillId="13" borderId="0" xfId="0" applyFill="1"/>
    <xf numFmtId="0" fontId="2" fillId="7" borderId="0" xfId="0" applyFont="1" applyFill="1" applyAlignment="1">
      <alignment vertical="center"/>
    </xf>
    <xf numFmtId="0" fontId="0" fillId="0" borderId="0" xfId="0" applyAlignment="1"/>
    <xf numFmtId="169" fontId="0" fillId="9" borderId="5" xfId="0" applyNumberFormat="1" applyFill="1" applyBorder="1" applyAlignment="1"/>
    <xf numFmtId="169" fontId="0" fillId="0" borderId="0" xfId="0" applyNumberFormat="1" applyAlignment="1"/>
    <xf numFmtId="169" fontId="0" fillId="0" borderId="0" xfId="1" applyNumberFormat="1" applyFont="1" applyAlignment="1"/>
    <xf numFmtId="169" fontId="2" fillId="7" borderId="5" xfId="0" applyNumberFormat="1" applyFont="1" applyFill="1" applyBorder="1" applyAlignment="1"/>
    <xf numFmtId="169" fontId="2" fillId="10" borderId="5" xfId="0" applyNumberFormat="1" applyFont="1" applyFill="1" applyBorder="1" applyAlignment="1"/>
    <xf numFmtId="169" fontId="2" fillId="10" borderId="8" xfId="1" applyNumberFormat="1" applyFont="1" applyFill="1" applyBorder="1" applyAlignment="1"/>
    <xf numFmtId="43" fontId="0" fillId="0" borderId="4" xfId="1" applyFont="1" applyBorder="1" applyAlignment="1">
      <alignment horizontal="center"/>
    </xf>
    <xf numFmtId="43" fontId="0" fillId="0" borderId="5" xfId="1" applyFont="1" applyBorder="1" applyAlignment="1">
      <alignment horizontal="center"/>
    </xf>
    <xf numFmtId="43" fontId="0" fillId="0" borderId="5" xfId="0" applyNumberFormat="1" applyBorder="1" applyAlignment="1">
      <alignment horizontal="center"/>
    </xf>
    <xf numFmtId="43" fontId="0" fillId="0" borderId="6" xfId="0" applyNumberFormat="1" applyBorder="1" applyAlignment="1">
      <alignment horizontal="center"/>
    </xf>
    <xf numFmtId="43" fontId="0" fillId="0" borderId="7" xfId="1" applyFont="1" applyBorder="1" applyAlignment="1">
      <alignment horizontal="center"/>
    </xf>
    <xf numFmtId="43" fontId="0" fillId="0" borderId="8" xfId="1" applyFont="1" applyBorder="1" applyAlignment="1">
      <alignment horizontal="center"/>
    </xf>
    <xf numFmtId="43" fontId="0" fillId="0" borderId="8" xfId="0" applyNumberFormat="1" applyBorder="1" applyAlignment="1">
      <alignment horizontal="center"/>
    </xf>
    <xf numFmtId="43" fontId="0" fillId="0" borderId="9" xfId="0" applyNumberFormat="1" applyBorder="1" applyAlignment="1">
      <alignment horizontal="center"/>
    </xf>
    <xf numFmtId="0" fontId="2" fillId="12" borderId="1" xfId="0" applyFont="1" applyFill="1" applyBorder="1"/>
    <xf numFmtId="43" fontId="2" fillId="7" borderId="5" xfId="0" applyNumberFormat="1" applyFont="1" applyFill="1" applyBorder="1"/>
    <xf numFmtId="43" fontId="2" fillId="7" borderId="6" xfId="0" applyNumberFormat="1" applyFont="1" applyFill="1" applyBorder="1"/>
    <xf numFmtId="0" fontId="2" fillId="12" borderId="4" xfId="0" applyFont="1" applyFill="1" applyBorder="1"/>
    <xf numFmtId="43" fontId="2" fillId="12" borderId="5" xfId="0" applyNumberFormat="1" applyFont="1" applyFill="1" applyBorder="1"/>
    <xf numFmtId="43" fontId="2" fillId="12" borderId="6" xfId="0" applyNumberFormat="1" applyFont="1" applyFill="1" applyBorder="1"/>
    <xf numFmtId="0" fontId="2" fillId="14" borderId="7" xfId="0" applyFont="1" applyFill="1" applyBorder="1"/>
    <xf numFmtId="43" fontId="2" fillId="14" borderId="8" xfId="0" applyNumberFormat="1" applyFont="1" applyFill="1" applyBorder="1"/>
    <xf numFmtId="43" fontId="2" fillId="14" borderId="9" xfId="0" applyNumberFormat="1" applyFont="1" applyFill="1" applyBorder="1"/>
    <xf numFmtId="0" fontId="0" fillId="2" borderId="4" xfId="0" applyFill="1" applyBorder="1"/>
    <xf numFmtId="0" fontId="0" fillId="2" borderId="7" xfId="0" applyFill="1" applyBorder="1"/>
    <xf numFmtId="43" fontId="0" fillId="0" borderId="9" xfId="0" applyNumberFormat="1" applyBorder="1"/>
    <xf numFmtId="43" fontId="0" fillId="2" borderId="1" xfId="1" applyFont="1" applyFill="1" applyBorder="1" applyAlignment="1">
      <alignment horizontal="center" vertical="center" wrapText="1"/>
    </xf>
    <xf numFmtId="43" fontId="0" fillId="2" borderId="2" xfId="1" applyFont="1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</cellXfs>
  <cellStyles count="3">
    <cellStyle name="Comma" xfId="1" builtinId="3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Start up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SA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'Feasibility study'!$H$15:$K$15</c:f>
              <c:strCache>
                <c:ptCount val="4"/>
                <c:pt idx="0">
                  <c:v>Expenses </c:v>
                </c:pt>
                <c:pt idx="1">
                  <c:v>Assets </c:v>
                </c:pt>
                <c:pt idx="2">
                  <c:v>Investiment </c:v>
                </c:pt>
                <c:pt idx="3">
                  <c:v>Loan</c:v>
                </c:pt>
              </c:strCache>
            </c:strRef>
          </c:cat>
          <c:val>
            <c:numRef>
              <c:f>'Feasibility study'!$H$16:$K$16</c:f>
              <c:numCache>
                <c:formatCode>[$EGP]\ #,##0.00_);\([$EGP]\ #,##0.00\)</c:formatCode>
                <c:ptCount val="4"/>
                <c:pt idx="0">
                  <c:v>244235.29411764705</c:v>
                </c:pt>
                <c:pt idx="1">
                  <c:v>1255764.705882353</c:v>
                </c:pt>
                <c:pt idx="2">
                  <c:v>1235294.1176470588</c:v>
                </c:pt>
                <c:pt idx="3">
                  <c:v>264705.8823529412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C57-3941-9410-BBDD0E59F5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871579728"/>
        <c:axId val="872105184"/>
        <c:axId val="0"/>
      </c:bar3DChart>
      <c:catAx>
        <c:axId val="8715797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872105184"/>
        <c:crosses val="autoZero"/>
        <c:auto val="1"/>
        <c:lblAlgn val="ctr"/>
        <c:lblOffset val="100"/>
        <c:noMultiLvlLbl val="0"/>
      </c:catAx>
      <c:valAx>
        <c:axId val="872105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[$EGP]\ #,##0.00_);\([$EGP]\ #,##0.0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8715797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SA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Market analysis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SA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B09D-6941-B4CB-CF827535E7D4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B09D-6941-B4CB-CF827535E7D4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B09D-6941-B4CB-CF827535E7D4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B09D-6941-B4CB-CF827535E7D4}"/>
              </c:ext>
            </c:extLst>
          </c:dPt>
          <c:dLbls>
            <c:spPr>
              <a:solidFill>
                <a:schemeClr val="tx2">
                  <a:lumMod val="5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SA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'Market Analysis'!$B$6:$B$9</c:f>
              <c:strCache>
                <c:ptCount val="4"/>
                <c:pt idx="0">
                  <c:v>Compund Risedent</c:v>
                </c:pt>
                <c:pt idx="1">
                  <c:v>Students and Faculty	</c:v>
                </c:pt>
                <c:pt idx="2">
                  <c:v>Office workers	</c:v>
                </c:pt>
                <c:pt idx="3">
                  <c:v>Other</c:v>
                </c:pt>
              </c:strCache>
            </c:strRef>
          </c:cat>
          <c:val>
            <c:numRef>
              <c:f>'Market Analysis'!$C$6:$C$9</c:f>
              <c:numCache>
                <c:formatCode>0.00%</c:formatCode>
                <c:ptCount val="4"/>
                <c:pt idx="0">
                  <c:v>0.08</c:v>
                </c:pt>
                <c:pt idx="1">
                  <c:v>0.03</c:v>
                </c:pt>
                <c:pt idx="2">
                  <c:v>0.05</c:v>
                </c:pt>
                <c:pt idx="3">
                  <c:v>5.0000000000000001E-3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17-994F-B398-239D28916DD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SA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SA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'Sales forecasting '!$G$5</c:f>
              <c:strCache>
                <c:ptCount val="1"/>
                <c:pt idx="0">
                  <c:v>Coffee beverages	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'Sales forecasting '!$H$4:$S$4</c:f>
              <c:strCache>
                <c:ptCount val="12"/>
                <c:pt idx="0">
                  <c:v>Month1</c:v>
                </c:pt>
                <c:pt idx="1">
                  <c:v>Month2</c:v>
                </c:pt>
                <c:pt idx="2">
                  <c:v>Month3</c:v>
                </c:pt>
                <c:pt idx="3">
                  <c:v>Month4</c:v>
                </c:pt>
                <c:pt idx="4">
                  <c:v>Month5</c:v>
                </c:pt>
                <c:pt idx="5">
                  <c:v>Month6</c:v>
                </c:pt>
                <c:pt idx="6">
                  <c:v>Month7</c:v>
                </c:pt>
                <c:pt idx="7">
                  <c:v>Month8</c:v>
                </c:pt>
                <c:pt idx="8">
                  <c:v>Month9</c:v>
                </c:pt>
                <c:pt idx="9">
                  <c:v>Month10</c:v>
                </c:pt>
                <c:pt idx="10">
                  <c:v>Month11</c:v>
                </c:pt>
                <c:pt idx="11">
                  <c:v>Month12</c:v>
                </c:pt>
              </c:strCache>
            </c:strRef>
          </c:cat>
          <c:val>
            <c:numRef>
              <c:f>'Sales forecasting '!$H$5:$S$5</c:f>
              <c:numCache>
                <c:formatCode>_(* #,##0.00_);_(* \(#,##0.00\);_(* "-"??_);_(@_)</c:formatCode>
                <c:ptCount val="12"/>
                <c:pt idx="0">
                  <c:v>45000</c:v>
                </c:pt>
                <c:pt idx="1">
                  <c:v>45000</c:v>
                </c:pt>
                <c:pt idx="2">
                  <c:v>54000</c:v>
                </c:pt>
                <c:pt idx="3">
                  <c:v>63000.000000000007</c:v>
                </c:pt>
                <c:pt idx="4">
                  <c:v>90000</c:v>
                </c:pt>
                <c:pt idx="5">
                  <c:v>117000</c:v>
                </c:pt>
                <c:pt idx="6">
                  <c:v>108000</c:v>
                </c:pt>
                <c:pt idx="7">
                  <c:v>90000</c:v>
                </c:pt>
                <c:pt idx="8">
                  <c:v>81000</c:v>
                </c:pt>
                <c:pt idx="9">
                  <c:v>72000</c:v>
                </c:pt>
                <c:pt idx="10">
                  <c:v>72000</c:v>
                </c:pt>
                <c:pt idx="11">
                  <c:v>63000.000000000007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3C8-8546-8DE0-CED5C606373B}"/>
            </c:ext>
          </c:extLst>
        </c:ser>
        <c:ser>
          <c:idx val="1"/>
          <c:order val="1"/>
          <c:tx>
            <c:strRef>
              <c:f>'Sales forecasting '!$G$6</c:f>
              <c:strCache>
                <c:ptCount val="1"/>
                <c:pt idx="0">
                  <c:v>Coffee beans	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'Sales forecasting '!$H$4:$S$4</c:f>
              <c:strCache>
                <c:ptCount val="12"/>
                <c:pt idx="0">
                  <c:v>Month1</c:v>
                </c:pt>
                <c:pt idx="1">
                  <c:v>Month2</c:v>
                </c:pt>
                <c:pt idx="2">
                  <c:v>Month3</c:v>
                </c:pt>
                <c:pt idx="3">
                  <c:v>Month4</c:v>
                </c:pt>
                <c:pt idx="4">
                  <c:v>Month5</c:v>
                </c:pt>
                <c:pt idx="5">
                  <c:v>Month6</c:v>
                </c:pt>
                <c:pt idx="6">
                  <c:v>Month7</c:v>
                </c:pt>
                <c:pt idx="7">
                  <c:v>Month8</c:v>
                </c:pt>
                <c:pt idx="8">
                  <c:v>Month9</c:v>
                </c:pt>
                <c:pt idx="9">
                  <c:v>Month10</c:v>
                </c:pt>
                <c:pt idx="10">
                  <c:v>Month11</c:v>
                </c:pt>
                <c:pt idx="11">
                  <c:v>Month12</c:v>
                </c:pt>
              </c:strCache>
            </c:strRef>
          </c:cat>
          <c:val>
            <c:numRef>
              <c:f>'Sales forecasting '!$H$6:$S$6</c:f>
              <c:numCache>
                <c:formatCode>_(* #,##0.00_);_(* \(#,##0.00\);_(* "-"??_);_(@_)</c:formatCode>
                <c:ptCount val="12"/>
                <c:pt idx="0">
                  <c:v>40000</c:v>
                </c:pt>
                <c:pt idx="1">
                  <c:v>40000</c:v>
                </c:pt>
                <c:pt idx="2">
                  <c:v>48000</c:v>
                </c:pt>
                <c:pt idx="3">
                  <c:v>56000.000000000007</c:v>
                </c:pt>
                <c:pt idx="4">
                  <c:v>80000</c:v>
                </c:pt>
                <c:pt idx="5">
                  <c:v>104000</c:v>
                </c:pt>
                <c:pt idx="6">
                  <c:v>96000</c:v>
                </c:pt>
                <c:pt idx="7">
                  <c:v>80000</c:v>
                </c:pt>
                <c:pt idx="8">
                  <c:v>72000</c:v>
                </c:pt>
                <c:pt idx="9">
                  <c:v>64000</c:v>
                </c:pt>
                <c:pt idx="10">
                  <c:v>64000</c:v>
                </c:pt>
                <c:pt idx="11">
                  <c:v>56000.000000000007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3C8-8546-8DE0-CED5C606373B}"/>
            </c:ext>
          </c:extLst>
        </c:ser>
        <c:ser>
          <c:idx val="2"/>
          <c:order val="2"/>
          <c:tx>
            <c:strRef>
              <c:f>'Sales forecasting '!$G$7</c:f>
              <c:strCache>
                <c:ptCount val="1"/>
                <c:pt idx="0">
                  <c:v>Pastries, etc.	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'Sales forecasting '!$H$4:$S$4</c:f>
              <c:strCache>
                <c:ptCount val="12"/>
                <c:pt idx="0">
                  <c:v>Month1</c:v>
                </c:pt>
                <c:pt idx="1">
                  <c:v>Month2</c:v>
                </c:pt>
                <c:pt idx="2">
                  <c:v>Month3</c:v>
                </c:pt>
                <c:pt idx="3">
                  <c:v>Month4</c:v>
                </c:pt>
                <c:pt idx="4">
                  <c:v>Month5</c:v>
                </c:pt>
                <c:pt idx="5">
                  <c:v>Month6</c:v>
                </c:pt>
                <c:pt idx="6">
                  <c:v>Month7</c:v>
                </c:pt>
                <c:pt idx="7">
                  <c:v>Month8</c:v>
                </c:pt>
                <c:pt idx="8">
                  <c:v>Month9</c:v>
                </c:pt>
                <c:pt idx="9">
                  <c:v>Month10</c:v>
                </c:pt>
                <c:pt idx="10">
                  <c:v>Month11</c:v>
                </c:pt>
                <c:pt idx="11">
                  <c:v>Month12</c:v>
                </c:pt>
              </c:strCache>
            </c:strRef>
          </c:cat>
          <c:val>
            <c:numRef>
              <c:f>'Sales forecasting '!$H$7:$S$7</c:f>
              <c:numCache>
                <c:formatCode>_(* #,##0.00_);_(* \(#,##0.00\);_(* "-"??_);_(@_)</c:formatCode>
                <c:ptCount val="12"/>
                <c:pt idx="0">
                  <c:v>32500</c:v>
                </c:pt>
                <c:pt idx="1">
                  <c:v>32500</c:v>
                </c:pt>
                <c:pt idx="2">
                  <c:v>39000</c:v>
                </c:pt>
                <c:pt idx="3">
                  <c:v>45500.000000000007</c:v>
                </c:pt>
                <c:pt idx="4">
                  <c:v>65000</c:v>
                </c:pt>
                <c:pt idx="5">
                  <c:v>84500</c:v>
                </c:pt>
                <c:pt idx="6">
                  <c:v>78000</c:v>
                </c:pt>
                <c:pt idx="7">
                  <c:v>65000</c:v>
                </c:pt>
                <c:pt idx="8">
                  <c:v>58500</c:v>
                </c:pt>
                <c:pt idx="9">
                  <c:v>52000</c:v>
                </c:pt>
                <c:pt idx="10">
                  <c:v>52000</c:v>
                </c:pt>
                <c:pt idx="11">
                  <c:v>45500.000000000007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3C8-8546-8DE0-CED5C60637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013837632"/>
        <c:axId val="1013573984"/>
      </c:barChart>
      <c:catAx>
        <c:axId val="10138376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013573984"/>
        <c:crosses val="autoZero"/>
        <c:auto val="1"/>
        <c:lblAlgn val="ctr"/>
        <c:lblOffset val="100"/>
        <c:noMultiLvlLbl val="0"/>
      </c:catAx>
      <c:valAx>
        <c:axId val="1013573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* #,##0.00_);_(* \(#,##0.00\);_(* &quot;-&quot;??_);_(@_)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013837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SA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SA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Cash flow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SA"/>
        </a:p>
      </c:txPr>
    </c:title>
    <c:autoTitleDeleted val="0"/>
    <c:view3D>
      <c:rotX val="10"/>
      <c:rotY val="10"/>
      <c:rAngAx val="0"/>
      <c:perspective val="2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'Financial plan '!$T$13</c:f>
              <c:strCache>
                <c:ptCount val="1"/>
                <c:pt idx="0">
                  <c:v>Net Cash flow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'Financial plan '!$U$12:$AF$12</c:f>
              <c:strCache>
                <c:ptCount val="12"/>
                <c:pt idx="0">
                  <c:v>JAN.2020</c:v>
                </c:pt>
                <c:pt idx="1">
                  <c:v>FEB.2020</c:v>
                </c:pt>
                <c:pt idx="2">
                  <c:v>March.2020</c:v>
                </c:pt>
                <c:pt idx="3">
                  <c:v>April.2020</c:v>
                </c:pt>
                <c:pt idx="4">
                  <c:v>May.2020</c:v>
                </c:pt>
                <c:pt idx="5">
                  <c:v>June.2020</c:v>
                </c:pt>
                <c:pt idx="6">
                  <c:v>July.2020</c:v>
                </c:pt>
                <c:pt idx="7">
                  <c:v>AUG.2020</c:v>
                </c:pt>
                <c:pt idx="8">
                  <c:v>SEP.2020</c:v>
                </c:pt>
                <c:pt idx="9">
                  <c:v>OCT.2020</c:v>
                </c:pt>
                <c:pt idx="10">
                  <c:v>NOV.2020</c:v>
                </c:pt>
                <c:pt idx="11">
                  <c:v>DEC.2020</c:v>
                </c:pt>
              </c:strCache>
            </c:strRef>
          </c:cat>
          <c:val>
            <c:numRef>
              <c:f>'Financial plan '!$U$13:$AF$13</c:f>
              <c:numCache>
                <c:formatCode>_(* #,##0.00_);_(* \(#,##0.00\);_(* "-"??_);_(@_)</c:formatCode>
                <c:ptCount val="12"/>
                <c:pt idx="0">
                  <c:v>41555.882352941175</c:v>
                </c:pt>
                <c:pt idx="1">
                  <c:v>83111.76470588235</c:v>
                </c:pt>
                <c:pt idx="2">
                  <c:v>132978.82352941175</c:v>
                </c:pt>
                <c:pt idx="3">
                  <c:v>191157.0588235294</c:v>
                </c:pt>
                <c:pt idx="4">
                  <c:v>274268.82352941175</c:v>
                </c:pt>
                <c:pt idx="5">
                  <c:v>382314.1176470588</c:v>
                </c:pt>
                <c:pt idx="6">
                  <c:v>482048.23529411759</c:v>
                </c:pt>
                <c:pt idx="7">
                  <c:v>565160</c:v>
                </c:pt>
                <c:pt idx="8">
                  <c:v>639960.5882352941</c:v>
                </c:pt>
                <c:pt idx="9">
                  <c:v>706450</c:v>
                </c:pt>
                <c:pt idx="10">
                  <c:v>772939.4117647059</c:v>
                </c:pt>
                <c:pt idx="11">
                  <c:v>831117.64705882361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AB-644C-98D0-F4E0FC7E9A4A}"/>
            </c:ext>
          </c:extLst>
        </c:ser>
        <c:ser>
          <c:idx val="1"/>
          <c:order val="1"/>
          <c:tx>
            <c:strRef>
              <c:f>'Financial plan '!$T$14</c:f>
              <c:strCache>
                <c:ptCount val="1"/>
                <c:pt idx="0">
                  <c:v>Cash balance 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'Financial plan '!$U$12:$AF$12</c:f>
              <c:strCache>
                <c:ptCount val="12"/>
                <c:pt idx="0">
                  <c:v>JAN.2020</c:v>
                </c:pt>
                <c:pt idx="1">
                  <c:v>FEB.2020</c:v>
                </c:pt>
                <c:pt idx="2">
                  <c:v>March.2020</c:v>
                </c:pt>
                <c:pt idx="3">
                  <c:v>April.2020</c:v>
                </c:pt>
                <c:pt idx="4">
                  <c:v>May.2020</c:v>
                </c:pt>
                <c:pt idx="5">
                  <c:v>June.2020</c:v>
                </c:pt>
                <c:pt idx="6">
                  <c:v>July.2020</c:v>
                </c:pt>
                <c:pt idx="7">
                  <c:v>AUG.2020</c:v>
                </c:pt>
                <c:pt idx="8">
                  <c:v>SEP.2020</c:v>
                </c:pt>
                <c:pt idx="9">
                  <c:v>OCT.2020</c:v>
                </c:pt>
                <c:pt idx="10">
                  <c:v>NOV.2020</c:v>
                </c:pt>
                <c:pt idx="11">
                  <c:v>DEC.2020</c:v>
                </c:pt>
              </c:strCache>
            </c:strRef>
          </c:cat>
          <c:val>
            <c:numRef>
              <c:f>'Financial plan '!$U$14:$AF$14</c:f>
              <c:numCache>
                <c:formatCode>_(* #,##0.00_);_(* \(#,##0.00\);_(* "-"??_);_(@_)</c:formatCode>
                <c:ptCount val="12"/>
                <c:pt idx="0">
                  <c:v>633817.64705882361</c:v>
                </c:pt>
                <c:pt idx="1">
                  <c:v>675373.52941176482</c:v>
                </c:pt>
                <c:pt idx="2">
                  <c:v>725240.58823529421</c:v>
                </c:pt>
                <c:pt idx="3">
                  <c:v>783418.82352941192</c:v>
                </c:pt>
                <c:pt idx="4">
                  <c:v>866530.58823529421</c:v>
                </c:pt>
                <c:pt idx="5">
                  <c:v>974575.88235294132</c:v>
                </c:pt>
                <c:pt idx="6">
                  <c:v>1074310.0000000002</c:v>
                </c:pt>
                <c:pt idx="7">
                  <c:v>1157421.7647058826</c:v>
                </c:pt>
                <c:pt idx="8">
                  <c:v>1232222.3529411769</c:v>
                </c:pt>
                <c:pt idx="9">
                  <c:v>1298711.7647058829</c:v>
                </c:pt>
                <c:pt idx="10">
                  <c:v>1365201.1764705889</c:v>
                </c:pt>
                <c:pt idx="11">
                  <c:v>1423379.4117647065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CAB-644C-98D0-F4E0FC7E9A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shape val="box"/>
        <c:axId val="1502361968"/>
        <c:axId val="1502311728"/>
        <c:axId val="0"/>
      </c:bar3DChart>
      <c:catAx>
        <c:axId val="1502361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502311728"/>
        <c:crosses val="autoZero"/>
        <c:auto val="1"/>
        <c:lblAlgn val="ctr"/>
        <c:lblOffset val="100"/>
        <c:noMultiLvlLbl val="0"/>
      </c:catAx>
      <c:valAx>
        <c:axId val="1502311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* #,##0.00_);_(* \(#,##0.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502361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SA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SA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Break even analysis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SA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'Breakeven analysis'!$B$28</c:f>
              <c:strCache>
                <c:ptCount val="1"/>
                <c:pt idx="0">
                  <c:v> Production of coffee(cubs of coffee) 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val>
            <c:numRef>
              <c:f>'Breakeven analysis'!$B$29:$B$33</c:f>
              <c:numCache>
                <c:formatCode>_(* #,##0.00_);_(* \(#,##0.00\);_(* "-"??_);_(@_)</c:formatCode>
                <c:ptCount val="5"/>
                <c:pt idx="0">
                  <c:v>1000</c:v>
                </c:pt>
                <c:pt idx="1">
                  <c:v>2000</c:v>
                </c:pt>
                <c:pt idx="2">
                  <c:v>3000</c:v>
                </c:pt>
                <c:pt idx="3">
                  <c:v>4000</c:v>
                </c:pt>
                <c:pt idx="4">
                  <c:v>5000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4F8-CC41-97C3-B8179F69C7DA}"/>
            </c:ext>
          </c:extLst>
        </c:ser>
        <c:ser>
          <c:idx val="1"/>
          <c:order val="1"/>
          <c:tx>
            <c:strRef>
              <c:f>'Breakeven analysis'!$C$28</c:f>
              <c:strCache>
                <c:ptCount val="1"/>
                <c:pt idx="0">
                  <c:v> Price  </c:v>
                </c:pt>
              </c:strCache>
            </c:strRef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val>
            <c:numRef>
              <c:f>'Breakeven analysis'!$C$29:$C$33</c:f>
              <c:numCache>
                <c:formatCode>_(* #,##0.00_);_(* \(#,##0.00\);_(* "-"??_);_(@_)</c:formatCode>
                <c:ptCount val="5"/>
                <c:pt idx="0">
                  <c:v>50000</c:v>
                </c:pt>
                <c:pt idx="1">
                  <c:v>100000</c:v>
                </c:pt>
                <c:pt idx="2">
                  <c:v>150000</c:v>
                </c:pt>
                <c:pt idx="3">
                  <c:v>200000</c:v>
                </c:pt>
                <c:pt idx="4">
                  <c:v>250000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4F8-CC41-97C3-B8179F69C7DA}"/>
            </c:ext>
          </c:extLst>
        </c:ser>
        <c:ser>
          <c:idx val="2"/>
          <c:order val="2"/>
          <c:tx>
            <c:strRef>
              <c:f>'Breakeven analysis'!$D$28</c:f>
              <c:strCache>
                <c:ptCount val="1"/>
                <c:pt idx="0">
                  <c:v>Total Cost </c:v>
                </c:pt>
              </c:strCache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val>
            <c:numRef>
              <c:f>'Breakeven analysis'!$D$29:$D$33</c:f>
              <c:numCache>
                <c:formatCode>_(* #,##0.00_);_(* \(#,##0.00\);_(* "-"??_);_(@_)</c:formatCode>
                <c:ptCount val="5"/>
                <c:pt idx="0">
                  <c:v>90917.730496453907</c:v>
                </c:pt>
                <c:pt idx="1">
                  <c:v>114999.67667918233</c:v>
                </c:pt>
                <c:pt idx="2">
                  <c:v>139081.62286191073</c:v>
                </c:pt>
                <c:pt idx="3">
                  <c:v>163163.56904463915</c:v>
                </c:pt>
                <c:pt idx="4">
                  <c:v>187245.51522736758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4F8-CC41-97C3-B8179F69C7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00478160"/>
        <c:axId val="1600479840"/>
      </c:lineChart>
      <c:catAx>
        <c:axId val="160047816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600479840"/>
        <c:crosses val="autoZero"/>
        <c:auto val="1"/>
        <c:lblAlgn val="ctr"/>
        <c:lblOffset val="100"/>
        <c:noMultiLvlLbl val="0"/>
      </c:catAx>
      <c:valAx>
        <c:axId val="160047984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_(* #,##0.00_);_(* \(#,##0.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6004781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SA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SA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'P&amp;L'!$G$6</c:f>
              <c:strCache>
                <c:ptCount val="1"/>
                <c:pt idx="0">
                  <c:v>Net profit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'P&amp;L'!$H$5:$J$5</c:f>
              <c:numCache>
                <c:formatCode>General</c:formatCod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numCache>
            </c:numRef>
          </c:cat>
          <c:val>
            <c:numRef>
              <c:f>'P&amp;L'!$H$6:$J$6</c:f>
              <c:numCache>
                <c:formatCode>_(* #,##0.00_);_(* \(#,##0.00\);_(* "-"??_);_(@_)</c:formatCode>
                <c:ptCount val="3"/>
                <c:pt idx="0">
                  <c:v>292088.23529411759</c:v>
                </c:pt>
                <c:pt idx="1">
                  <c:v>500252.94117647037</c:v>
                </c:pt>
                <c:pt idx="2">
                  <c:v>595792.94117647037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10E-3A4A-9ED6-E604E89C53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axId val="1524562064"/>
        <c:axId val="1593406096"/>
      </c:barChart>
      <c:lineChart>
        <c:grouping val="standard"/>
        <c:varyColors val="0"/>
        <c:ser>
          <c:idx val="1"/>
          <c:order val="1"/>
          <c:tx>
            <c:strRef>
              <c:f>'P&amp;L'!$G$7</c:f>
              <c:strCache>
                <c:ptCount val="1"/>
                <c:pt idx="0">
                  <c:v>Net profit %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'P&amp;L'!$H$5:$J$5</c:f>
              <c:numCache>
                <c:formatCode>General</c:formatCod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numCache>
            </c:numRef>
          </c:cat>
          <c:val>
            <c:numRef>
              <c:f>'P&amp;L'!$H$7:$J$7</c:f>
              <c:numCache>
                <c:formatCode>0.00%</c:formatCode>
                <c:ptCount val="3"/>
                <c:pt idx="0">
                  <c:v>0.12429286608260323</c:v>
                </c:pt>
                <c:pt idx="1">
                  <c:v>0.19352144726362491</c:v>
                </c:pt>
                <c:pt idx="2">
                  <c:v>0.20952802573464754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10E-3A4A-9ED6-E604E89C53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97402512"/>
        <c:axId val="1552924048"/>
      </c:lineChart>
      <c:catAx>
        <c:axId val="1524562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593406096"/>
        <c:crosses val="autoZero"/>
        <c:auto val="1"/>
        <c:lblAlgn val="ctr"/>
        <c:lblOffset val="100"/>
        <c:noMultiLvlLbl val="0"/>
      </c:catAx>
      <c:valAx>
        <c:axId val="1593406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* #,##0.00_);_(* \(#,##0.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524562064"/>
        <c:crosses val="autoZero"/>
        <c:crossBetween val="between"/>
      </c:valAx>
      <c:valAx>
        <c:axId val="1552924048"/>
        <c:scaling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597402512"/>
        <c:crosses val="max"/>
        <c:crossBetween val="between"/>
      </c:valAx>
      <c:catAx>
        <c:axId val="159740251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55292404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SA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SA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Highlights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SA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'P&amp;L'!$B$31</c:f>
              <c:strCache>
                <c:ptCount val="1"/>
                <c:pt idx="0">
                  <c:v>Sales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'P&amp;L'!$C$30:$E$30</c:f>
              <c:numCache>
                <c:formatCode>General</c:formatCod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numCache>
            </c:numRef>
          </c:cat>
          <c:val>
            <c:numRef>
              <c:f>'P&amp;L'!$C$31:$E$31</c:f>
              <c:numCache>
                <c:formatCode>_(* #,##0.00_);_(* \(#,##0.00\);_(* "-"??_);_(@_)</c:formatCode>
                <c:ptCount val="3"/>
                <c:pt idx="0">
                  <c:v>2350000</c:v>
                </c:pt>
                <c:pt idx="1">
                  <c:v>2585000</c:v>
                </c:pt>
                <c:pt idx="2">
                  <c:v>2843500.0000000005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1A6-7344-B92C-8846570A9A18}"/>
            </c:ext>
          </c:extLst>
        </c:ser>
        <c:ser>
          <c:idx val="1"/>
          <c:order val="1"/>
          <c:tx>
            <c:strRef>
              <c:f>'P&amp;L'!$B$32</c:f>
              <c:strCache>
                <c:ptCount val="1"/>
                <c:pt idx="0">
                  <c:v>Gross Margin 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'P&amp;L'!$C$30:$E$30</c:f>
              <c:numCache>
                <c:formatCode>General</c:formatCod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numCache>
            </c:numRef>
          </c:cat>
          <c:val>
            <c:numRef>
              <c:f>'P&amp;L'!$C$32:$E$32</c:f>
              <c:numCache>
                <c:formatCode>_(* #,##0.00_);_(* \(#,##0.00\);_(* "-"??_);_(@_)</c:formatCode>
                <c:ptCount val="3"/>
                <c:pt idx="0">
                  <c:v>1410000</c:v>
                </c:pt>
                <c:pt idx="1">
                  <c:v>1551000</c:v>
                </c:pt>
                <c:pt idx="2">
                  <c:v>1706100.0000000002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1A6-7344-B92C-8846570A9A18}"/>
            </c:ext>
          </c:extLst>
        </c:ser>
        <c:ser>
          <c:idx val="2"/>
          <c:order val="2"/>
          <c:tx>
            <c:strRef>
              <c:f>'P&amp;L'!$B$33</c:f>
              <c:strCache>
                <c:ptCount val="1"/>
                <c:pt idx="0">
                  <c:v>Net profit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'P&amp;L'!$C$30:$E$30</c:f>
              <c:numCache>
                <c:formatCode>General</c:formatCod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numCache>
            </c:numRef>
          </c:cat>
          <c:val>
            <c:numRef>
              <c:f>'P&amp;L'!$C$33:$E$33</c:f>
              <c:numCache>
                <c:formatCode>_(* #,##0.00_);_(* \(#,##0.00\);_(* "-"??_);_(@_)</c:formatCode>
                <c:ptCount val="3"/>
                <c:pt idx="0">
                  <c:v>292088.23529411759</c:v>
                </c:pt>
                <c:pt idx="1">
                  <c:v>500252.94117647037</c:v>
                </c:pt>
                <c:pt idx="2">
                  <c:v>595792.94117647037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1A6-7344-B92C-8846570A9A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68323920"/>
        <c:axId val="1768324720"/>
      </c:barChart>
      <c:catAx>
        <c:axId val="17683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768324720"/>
        <c:crosses val="autoZero"/>
        <c:auto val="1"/>
        <c:lblAlgn val="ctr"/>
        <c:lblOffset val="100"/>
        <c:noMultiLvlLbl val="0"/>
      </c:catAx>
      <c:valAx>
        <c:axId val="1768324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* #,##0.00_);_(* \(#,##0.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7683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SA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  <a:scene3d>
      <a:camera prst="orthographicFront"/>
      <a:lightRig rig="freezing" dir="t"/>
    </a:scene3d>
    <a:sp3d prstMaterial="dkEdge">
      <a:bevelT w="12700" h="88900"/>
      <a:bevelB w="12700" h="95250"/>
    </a:sp3d>
  </c:spPr>
  <c:txPr>
    <a:bodyPr/>
    <a:lstStyle/>
    <a:p>
      <a:pPr>
        <a:defRPr/>
      </a:pPr>
      <a:endParaRPr lang="en-SA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'Balance sheet '!$B$28</c:f>
              <c:strCache>
                <c:ptCount val="1"/>
                <c:pt idx="0">
                  <c:v>Original Capital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SA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'Balance sheet '!$C$27:$E$27</c:f>
              <c:numCache>
                <c:formatCode>General</c:formatCod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numCache>
            </c:numRef>
          </c:cat>
          <c:val>
            <c:numRef>
              <c:f>'Balance sheet '!$C$28:$E$28</c:f>
              <c:numCache>
                <c:formatCode>_(* #,##0.00_);_(* \(#,##0.00\);_(* "-"??_);_(@_)</c:formatCode>
                <c:ptCount val="3"/>
                <c:pt idx="0">
                  <c:v>1235294.1176470588</c:v>
                </c:pt>
                <c:pt idx="1">
                  <c:v>1235294.1176470588</c:v>
                </c:pt>
                <c:pt idx="2">
                  <c:v>1235294.1176470588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4C-6843-BBEB-F1311FBC2A6A}"/>
            </c:ext>
          </c:extLst>
        </c:ser>
        <c:ser>
          <c:idx val="1"/>
          <c:order val="1"/>
          <c:tx>
            <c:strRef>
              <c:f>'Balance sheet '!$B$29</c:f>
              <c:strCache>
                <c:ptCount val="1"/>
                <c:pt idx="0">
                  <c:v>Net Worth 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SA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'Balance sheet '!$C$27:$E$27</c:f>
              <c:numCache>
                <c:formatCode>General</c:formatCod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numCache>
            </c:numRef>
          </c:cat>
          <c:val>
            <c:numRef>
              <c:f>'Balance sheet '!$C$29:$E$29</c:f>
              <c:numCache>
                <c:formatCode>_(* #,##0.00_);_(* \(#,##0.00\);_(* "-"??_);_(@_)</c:formatCode>
                <c:ptCount val="3"/>
                <c:pt idx="0">
                  <c:v>1527382.3529411764</c:v>
                </c:pt>
                <c:pt idx="1">
                  <c:v>1735547.0588235292</c:v>
                </c:pt>
                <c:pt idx="2">
                  <c:v>1831087.0588235292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A4C-6843-BBEB-F1311FBC2A6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75"/>
        <c:axId val="1551572655"/>
        <c:axId val="1544127183"/>
      </c:barChart>
      <c:catAx>
        <c:axId val="15515726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544127183"/>
        <c:crosses val="autoZero"/>
        <c:auto val="1"/>
        <c:lblAlgn val="ctr"/>
        <c:lblOffset val="100"/>
        <c:noMultiLvlLbl val="0"/>
      </c:catAx>
      <c:valAx>
        <c:axId val="1544127183"/>
        <c:scaling>
          <c:orientation val="minMax"/>
        </c:scaling>
        <c:delete val="0"/>
        <c:axPos val="l"/>
        <c:numFmt formatCode="_(* #,##0.00_);_(* \(#,##0.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SA"/>
          </a:p>
        </c:txPr>
        <c:crossAx val="15515726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SA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SA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tiff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tiff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f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if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123744</xdr:colOff>
      <xdr:row>16</xdr:row>
      <xdr:rowOff>158913</xdr:rowOff>
    </xdr:from>
    <xdr:to>
      <xdr:col>10</xdr:col>
      <xdr:colOff>1081128</xdr:colOff>
      <xdr:row>32</xdr:row>
      <xdr:rowOff>123309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99ED55E-6A30-D041-A50C-BCD629FC5B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6</xdr:col>
      <xdr:colOff>531879</xdr:colOff>
      <xdr:row>0</xdr:row>
      <xdr:rowOff>0</xdr:rowOff>
    </xdr:from>
    <xdr:to>
      <xdr:col>12</xdr:col>
      <xdr:colOff>193104</xdr:colOff>
      <xdr:row>11</xdr:row>
      <xdr:rowOff>130257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288AB41-5571-8F47-AF3A-5A50F465C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02905" y="0"/>
          <a:ext cx="6043789" cy="21492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1116262</xdr:colOff>
      <xdr:row>11</xdr:row>
      <xdr:rowOff>52136</xdr:rowOff>
    </xdr:from>
    <xdr:to>
      <xdr:col>8</xdr:col>
      <xdr:colOff>133684</xdr:colOff>
      <xdr:row>28</xdr:row>
      <xdr:rowOff>40105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1D33EEF-2BAC-5541-B4EB-90B3B460409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601578</xdr:colOff>
      <xdr:row>6</xdr:row>
      <xdr:rowOff>133684</xdr:rowOff>
    </xdr:from>
    <xdr:to>
      <xdr:col>17</xdr:col>
      <xdr:colOff>481262</xdr:colOff>
      <xdr:row>30</xdr:row>
      <xdr:rowOff>187158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FBFAABE-434A-7246-832F-761330A2C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99578" y="1737895"/>
          <a:ext cx="6510421" cy="5080000"/>
        </a:xfrm>
        <a:prstGeom prst="rect">
          <a:avLst/>
        </a:prstGeom>
      </xdr:spPr>
    </xdr:pic>
    <xdr:clientData/>
  </xdr:twoCellAnchor>
  <xdr:twoCellAnchor editAs="oneCell">
    <xdr:from>
      <xdr:col>9</xdr:col>
      <xdr:colOff>414421</xdr:colOff>
      <xdr:row>0</xdr:row>
      <xdr:rowOff>0</xdr:rowOff>
    </xdr:from>
    <xdr:to>
      <xdr:col>13</xdr:col>
      <xdr:colOff>360947</xdr:colOff>
      <xdr:row>2</xdr:row>
      <xdr:rowOff>387684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620B9C-27CB-5B43-9129-88F12D59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12421" y="0"/>
          <a:ext cx="3261894" cy="78873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120650</xdr:colOff>
      <xdr:row>9</xdr:row>
      <xdr:rowOff>88900</xdr:rowOff>
    </xdr:from>
    <xdr:to>
      <xdr:col>15</xdr:col>
      <xdr:colOff>673100</xdr:colOff>
      <xdr:row>30</xdr:row>
      <xdr:rowOff>25400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0CDCB0A-8CC4-9F43-AB07-4B9A336F75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177800</xdr:colOff>
      <xdr:row>16</xdr:row>
      <xdr:rowOff>114300</xdr:rowOff>
    </xdr:from>
    <xdr:to>
      <xdr:col>5</xdr:col>
      <xdr:colOff>822339</xdr:colOff>
      <xdr:row>36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8D51FC5-2842-9546-B730-112CE298C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7800" y="3403600"/>
          <a:ext cx="5991239" cy="4127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74385</xdr:colOff>
      <xdr:row>0</xdr:row>
      <xdr:rowOff>64278</xdr:rowOff>
    </xdr:from>
    <xdr:to>
      <xdr:col>15</xdr:col>
      <xdr:colOff>188685</xdr:colOff>
      <xdr:row>17</xdr:row>
      <xdr:rowOff>48468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2E3B5B-D500-8546-8D9A-ECE24E1804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78569" y="64278"/>
          <a:ext cx="8408178" cy="388490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420821</xdr:colOff>
      <xdr:row>15</xdr:row>
      <xdr:rowOff>6027</xdr:rowOff>
    </xdr:from>
    <xdr:to>
      <xdr:col>27</xdr:col>
      <xdr:colOff>731863</xdr:colOff>
      <xdr:row>43</xdr:row>
      <xdr:rowOff>172204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CD3DAE7-982E-CB44-8BAB-03E9B32236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641350</xdr:colOff>
      <xdr:row>16</xdr:row>
      <xdr:rowOff>25400</xdr:rowOff>
    </xdr:from>
    <xdr:to>
      <xdr:col>12</xdr:col>
      <xdr:colOff>241300</xdr:colOff>
      <xdr:row>34</xdr:row>
      <xdr:rowOff>76200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D40B353-CA33-0A4A-A406-78FE361B146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818444</xdr:colOff>
      <xdr:row>7</xdr:row>
      <xdr:rowOff>158913</xdr:rowOff>
    </xdr:from>
    <xdr:to>
      <xdr:col>11</xdr:col>
      <xdr:colOff>173676</xdr:colOff>
      <xdr:row>21</xdr:row>
      <xdr:rowOff>195385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EFCBDEC-F131-1C4D-B7CC-79A595F15DA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775026</xdr:colOff>
      <xdr:row>23</xdr:row>
      <xdr:rowOff>6947</xdr:rowOff>
    </xdr:from>
    <xdr:to>
      <xdr:col>11</xdr:col>
      <xdr:colOff>343009</xdr:colOff>
      <xdr:row>36</xdr:row>
      <xdr:rowOff>36472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1849337-5377-3247-905D-5531421A2B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323850</xdr:colOff>
      <xdr:row>29</xdr:row>
      <xdr:rowOff>165100</xdr:rowOff>
    </xdr:from>
    <xdr:to>
      <xdr:col>3</xdr:col>
      <xdr:colOff>984250</xdr:colOff>
      <xdr:row>43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426A079-D501-A941-A31D-48CF395BA1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F78D28-FA00-E345-BA41-475E0E8202D4}">
  <dimension ref="B1:K46"/>
  <sheetViews>
    <sheetView topLeftCell="A33" zoomScale="117" zoomScaleNormal="117" workbookViewId="0">
      <selection activeCell="A42" sqref="A42:XFD42"/>
    </sheetView>
  </sheetViews>
  <sheetFormatPr baseColWidth="10" defaultRowHeight="16" x14ac:dyDescent="0.2"/>
  <cols>
    <col min="2" max="2" width="29.5" bestFit="1" customWidth="1"/>
    <col min="3" max="3" width="13.1640625" customWidth="1"/>
    <col min="4" max="4" width="10.83203125" style="2" customWidth="1"/>
    <col min="5" max="5" width="13" style="1" bestFit="1" customWidth="1"/>
    <col min="6" max="6" width="13" bestFit="1" customWidth="1"/>
    <col min="8" max="8" width="14.6640625" bestFit="1" customWidth="1"/>
    <col min="9" max="10" width="16.33203125" bestFit="1" customWidth="1"/>
    <col min="11" max="11" width="14.6640625" bestFit="1" customWidth="1"/>
  </cols>
  <sheetData>
    <row r="1" spans="2:11" x14ac:dyDescent="0.2">
      <c r="F1" t="s">
        <v>85</v>
      </c>
    </row>
    <row r="2" spans="2:11" x14ac:dyDescent="0.2">
      <c r="F2" t="s">
        <v>86</v>
      </c>
    </row>
    <row r="3" spans="2:11" ht="17" thickBot="1" x14ac:dyDescent="0.25"/>
    <row r="4" spans="2:11" ht="14" customHeight="1" x14ac:dyDescent="0.2">
      <c r="B4" s="3" t="s">
        <v>0</v>
      </c>
      <c r="C4" s="4" t="s">
        <v>9</v>
      </c>
      <c r="D4" s="5" t="s">
        <v>42</v>
      </c>
      <c r="E4" s="6"/>
    </row>
    <row r="5" spans="2:11" ht="14" customHeight="1" x14ac:dyDescent="0.2">
      <c r="B5" s="7" t="s">
        <v>1</v>
      </c>
      <c r="C5" s="8"/>
      <c r="D5" s="9"/>
      <c r="E5" s="10"/>
    </row>
    <row r="6" spans="2:11" ht="14" customHeight="1" x14ac:dyDescent="0.2">
      <c r="B6" s="11" t="s">
        <v>2</v>
      </c>
      <c r="C6" s="12">
        <v>1300</v>
      </c>
      <c r="D6" s="9">
        <f>+C6/$C$14</f>
        <v>4.6965317919075142E-2</v>
      </c>
      <c r="E6" s="10">
        <f>+D6*$E$14</f>
        <v>11470.588235294117</v>
      </c>
    </row>
    <row r="7" spans="2:11" ht="14" customHeight="1" x14ac:dyDescent="0.2">
      <c r="B7" s="11" t="s">
        <v>3</v>
      </c>
      <c r="C7" s="12">
        <v>500</v>
      </c>
      <c r="D7" s="9">
        <f t="shared" ref="D7:D13" si="0">+C7/$C$14</f>
        <v>1.8063583815028903E-2</v>
      </c>
      <c r="E7" s="10">
        <f t="shared" ref="E7:E13" si="1">+D7*$E$14</f>
        <v>4411.7647058823532</v>
      </c>
      <c r="F7" t="s">
        <v>87</v>
      </c>
    </row>
    <row r="8" spans="2:11" ht="14" customHeight="1" x14ac:dyDescent="0.2">
      <c r="B8" s="11" t="s">
        <v>4</v>
      </c>
      <c r="C8" s="12">
        <v>3580</v>
      </c>
      <c r="D8" s="9">
        <f t="shared" si="0"/>
        <v>0.12933526011560695</v>
      </c>
      <c r="E8" s="10">
        <f t="shared" si="1"/>
        <v>31588.235294117647</v>
      </c>
      <c r="F8" t="s">
        <v>87</v>
      </c>
    </row>
    <row r="9" spans="2:11" ht="14" customHeight="1" x14ac:dyDescent="0.2">
      <c r="B9" s="11" t="s">
        <v>5</v>
      </c>
      <c r="C9" s="12">
        <v>3000</v>
      </c>
      <c r="D9" s="9">
        <f t="shared" si="0"/>
        <v>0.10838150289017341</v>
      </c>
      <c r="E9" s="10">
        <f t="shared" si="1"/>
        <v>26470.588235294115</v>
      </c>
      <c r="F9" t="s">
        <v>87</v>
      </c>
    </row>
    <row r="10" spans="2:11" ht="14" customHeight="1" x14ac:dyDescent="0.2">
      <c r="B10" s="11" t="s">
        <v>6</v>
      </c>
      <c r="C10" s="12">
        <v>2400</v>
      </c>
      <c r="D10" s="9">
        <f t="shared" si="0"/>
        <v>8.6705202312138727E-2</v>
      </c>
      <c r="E10" s="10">
        <f t="shared" si="1"/>
        <v>21176.470588235294</v>
      </c>
      <c r="F10" t="s">
        <v>87</v>
      </c>
    </row>
    <row r="11" spans="2:11" ht="14" customHeight="1" x14ac:dyDescent="0.2">
      <c r="B11" s="11" t="s">
        <v>117</v>
      </c>
      <c r="C11" s="12">
        <v>4400</v>
      </c>
      <c r="D11" s="9">
        <f t="shared" si="0"/>
        <v>0.15895953757225434</v>
      </c>
      <c r="E11" s="10">
        <f t="shared" si="1"/>
        <v>38823.529411764706</v>
      </c>
      <c r="F11" t="s">
        <v>87</v>
      </c>
    </row>
    <row r="12" spans="2:11" ht="14" customHeight="1" x14ac:dyDescent="0.2">
      <c r="B12" s="11" t="s">
        <v>7</v>
      </c>
      <c r="C12" s="12">
        <v>10000</v>
      </c>
      <c r="D12" s="9">
        <f t="shared" si="0"/>
        <v>0.36127167630057805</v>
      </c>
      <c r="E12" s="10">
        <f t="shared" si="1"/>
        <v>88235.294117647063</v>
      </c>
    </row>
    <row r="13" spans="2:11" ht="14" customHeight="1" x14ac:dyDescent="0.2">
      <c r="B13" s="11" t="s">
        <v>8</v>
      </c>
      <c r="C13" s="12">
        <v>2500</v>
      </c>
      <c r="D13" s="9">
        <f t="shared" si="0"/>
        <v>9.0317919075144512E-2</v>
      </c>
      <c r="E13" s="10">
        <f t="shared" si="1"/>
        <v>22058.823529411766</v>
      </c>
      <c r="F13" t="s">
        <v>87</v>
      </c>
    </row>
    <row r="14" spans="2:11" ht="14" customHeight="1" x14ac:dyDescent="0.2">
      <c r="B14" s="13" t="s">
        <v>10</v>
      </c>
      <c r="C14" s="14">
        <f>SUM(C6:C13)</f>
        <v>27680</v>
      </c>
      <c r="D14" s="9">
        <f>+C14/C21</f>
        <v>0.1628235294117647</v>
      </c>
      <c r="E14" s="15">
        <f>+D14*E21</f>
        <v>244235.29411764705</v>
      </c>
    </row>
    <row r="15" spans="2:11" ht="14" customHeight="1" x14ac:dyDescent="0.2">
      <c r="B15" s="7" t="s">
        <v>11</v>
      </c>
      <c r="C15" s="8"/>
      <c r="D15" s="9"/>
      <c r="E15" s="10"/>
      <c r="H15" t="s">
        <v>43</v>
      </c>
      <c r="I15" t="s">
        <v>44</v>
      </c>
      <c r="J15" t="s">
        <v>45</v>
      </c>
      <c r="K15" t="s">
        <v>46</v>
      </c>
    </row>
    <row r="16" spans="2:11" ht="14" customHeight="1" x14ac:dyDescent="0.2">
      <c r="B16" s="11" t="s">
        <v>12</v>
      </c>
      <c r="C16" s="16">
        <v>67123</v>
      </c>
      <c r="D16" s="9">
        <f>+C16/$C$20</f>
        <v>0.47163434513771779</v>
      </c>
      <c r="E16" s="10">
        <f>+D16*$E$20</f>
        <v>592261.76470588241</v>
      </c>
      <c r="H16" s="32">
        <f>+E14</f>
        <v>244235.29411764705</v>
      </c>
      <c r="I16" s="32">
        <f>+E20</f>
        <v>1255764.705882353</v>
      </c>
      <c r="J16" s="32">
        <f>+E42</f>
        <v>1235294.1176470588</v>
      </c>
      <c r="K16" s="32">
        <f>+E36</f>
        <v>264705.8823529412</v>
      </c>
    </row>
    <row r="17" spans="2:5" ht="14" customHeight="1" x14ac:dyDescent="0.2">
      <c r="B17" s="11" t="s">
        <v>13</v>
      </c>
      <c r="C17" s="16">
        <v>16027</v>
      </c>
      <c r="D17" s="9">
        <f t="shared" ref="D17:D19" si="2">+C17/$C$20</f>
        <v>0.1126124227093873</v>
      </c>
      <c r="E17" s="10">
        <f t="shared" ref="E17:E19" si="3">+D17*$E$20</f>
        <v>141414.70588235295</v>
      </c>
    </row>
    <row r="18" spans="2:5" ht="14" customHeight="1" x14ac:dyDescent="0.2">
      <c r="B18" s="11" t="s">
        <v>14</v>
      </c>
      <c r="C18" s="8"/>
      <c r="D18" s="9">
        <f t="shared" si="2"/>
        <v>0</v>
      </c>
      <c r="E18" s="10">
        <f t="shared" si="3"/>
        <v>0</v>
      </c>
    </row>
    <row r="19" spans="2:5" ht="14" customHeight="1" x14ac:dyDescent="0.2">
      <c r="B19" s="11" t="s">
        <v>15</v>
      </c>
      <c r="C19" s="16">
        <v>59170</v>
      </c>
      <c r="D19" s="9">
        <f t="shared" si="2"/>
        <v>0.41575323215289489</v>
      </c>
      <c r="E19" s="10">
        <f t="shared" si="3"/>
        <v>522088.23529411771</v>
      </c>
    </row>
    <row r="20" spans="2:5" ht="14" customHeight="1" x14ac:dyDescent="0.2">
      <c r="B20" s="13" t="s">
        <v>16</v>
      </c>
      <c r="C20" s="14">
        <f>SUM(C16:C19)</f>
        <v>142320</v>
      </c>
      <c r="D20" s="9">
        <f>+C20/C21</f>
        <v>0.8371764705882353</v>
      </c>
      <c r="E20" s="15">
        <f>+E21*D20</f>
        <v>1255764.705882353</v>
      </c>
    </row>
    <row r="21" spans="2:5" ht="14" customHeight="1" x14ac:dyDescent="0.2">
      <c r="B21" s="17" t="s">
        <v>17</v>
      </c>
      <c r="C21" s="18">
        <f>C20+C14</f>
        <v>170000</v>
      </c>
      <c r="D21" s="9"/>
      <c r="E21" s="19">
        <v>1500000</v>
      </c>
    </row>
    <row r="22" spans="2:5" ht="14" customHeight="1" x14ac:dyDescent="0.2">
      <c r="B22" s="13" t="s">
        <v>18</v>
      </c>
      <c r="C22" s="20"/>
      <c r="D22" s="9"/>
      <c r="E22" s="10"/>
    </row>
    <row r="23" spans="2:5" ht="14" customHeight="1" x14ac:dyDescent="0.2">
      <c r="B23" s="21" t="s">
        <v>19</v>
      </c>
      <c r="C23" s="22">
        <f>+C14</f>
        <v>27680</v>
      </c>
      <c r="D23" s="9"/>
      <c r="E23" s="10">
        <f>+E14</f>
        <v>244235.29411764705</v>
      </c>
    </row>
    <row r="24" spans="2:5" ht="14" customHeight="1" x14ac:dyDescent="0.2">
      <c r="B24" s="21" t="s">
        <v>20</v>
      </c>
      <c r="C24" s="22">
        <f>+C20</f>
        <v>142320</v>
      </c>
      <c r="D24" s="9"/>
      <c r="E24" s="10">
        <f>+E20</f>
        <v>1255764.705882353</v>
      </c>
    </row>
    <row r="25" spans="2:5" ht="14" customHeight="1" x14ac:dyDescent="0.2">
      <c r="B25" s="13" t="s">
        <v>21</v>
      </c>
      <c r="C25" s="20">
        <f>+C24+C23</f>
        <v>170000</v>
      </c>
      <c r="D25" s="9"/>
      <c r="E25" s="23">
        <f>+E24+E23</f>
        <v>1500000</v>
      </c>
    </row>
    <row r="26" spans="2:5" ht="14" customHeight="1" x14ac:dyDescent="0.2">
      <c r="B26" s="7" t="s">
        <v>22</v>
      </c>
      <c r="C26" s="8"/>
      <c r="D26" s="9"/>
      <c r="E26" s="10"/>
    </row>
    <row r="27" spans="2:5" ht="14" customHeight="1" x14ac:dyDescent="0.2">
      <c r="B27" s="11" t="s">
        <v>23</v>
      </c>
      <c r="C27" s="16">
        <f>+C17+C19</f>
        <v>75197</v>
      </c>
      <c r="D27" s="9"/>
      <c r="E27" s="10">
        <f>+E17+E19</f>
        <v>663502.9411764706</v>
      </c>
    </row>
    <row r="28" spans="2:5" ht="14" customHeight="1" x14ac:dyDescent="0.2">
      <c r="B28" s="11" t="s">
        <v>24</v>
      </c>
      <c r="C28" s="16">
        <f>+C16</f>
        <v>67123</v>
      </c>
      <c r="D28" s="9"/>
      <c r="E28" s="10">
        <f>+E16</f>
        <v>592261.76470588241</v>
      </c>
    </row>
    <row r="29" spans="2:5" ht="14" customHeight="1" x14ac:dyDescent="0.2">
      <c r="B29" s="11" t="s">
        <v>25</v>
      </c>
      <c r="C29" s="8">
        <v>0</v>
      </c>
      <c r="D29" s="9"/>
      <c r="E29" s="10">
        <v>0</v>
      </c>
    </row>
    <row r="30" spans="2:5" ht="14" customHeight="1" x14ac:dyDescent="0.2">
      <c r="B30" s="11" t="s">
        <v>26</v>
      </c>
      <c r="C30" s="16">
        <f>+C28</f>
        <v>67123</v>
      </c>
      <c r="D30" s="9"/>
      <c r="E30" s="10">
        <f>+E28</f>
        <v>592261.76470588241</v>
      </c>
    </row>
    <row r="31" spans="2:5" ht="14" customHeight="1" x14ac:dyDescent="0.2">
      <c r="B31" s="13" t="s">
        <v>16</v>
      </c>
      <c r="C31" s="24">
        <f>+C28+C27</f>
        <v>142320</v>
      </c>
      <c r="D31" s="9"/>
      <c r="E31" s="23">
        <f>+E28+E27</f>
        <v>1255764.705882353</v>
      </c>
    </row>
    <row r="32" spans="2:5" ht="14" customHeight="1" x14ac:dyDescent="0.2">
      <c r="B32" s="7" t="s">
        <v>27</v>
      </c>
      <c r="C32" s="8"/>
      <c r="D32" s="9"/>
      <c r="E32" s="10"/>
    </row>
    <row r="33" spans="2:6" ht="14" customHeight="1" x14ac:dyDescent="0.2">
      <c r="B33" s="11" t="s">
        <v>28</v>
      </c>
      <c r="C33" s="8"/>
      <c r="D33" s="9"/>
      <c r="E33" s="10"/>
    </row>
    <row r="34" spans="2:6" ht="14" customHeight="1" x14ac:dyDescent="0.2">
      <c r="B34" s="11" t="s">
        <v>29</v>
      </c>
      <c r="C34" s="16">
        <v>10000</v>
      </c>
      <c r="D34" s="9">
        <f>+C34/$C$36</f>
        <v>0.33333333333333331</v>
      </c>
      <c r="E34" s="10">
        <f>+D34*E36</f>
        <v>88235.294117647063</v>
      </c>
    </row>
    <row r="35" spans="2:6" ht="14" customHeight="1" x14ac:dyDescent="0.2">
      <c r="B35" s="11" t="s">
        <v>30</v>
      </c>
      <c r="C35" s="16">
        <v>20000</v>
      </c>
      <c r="D35" s="9">
        <f>+C35/$C$36</f>
        <v>0.66666666666666663</v>
      </c>
      <c r="E35" s="10">
        <f>+D35*E36</f>
        <v>176470.58823529413</v>
      </c>
    </row>
    <row r="36" spans="2:6" ht="14" customHeight="1" x14ac:dyDescent="0.2">
      <c r="B36" s="13" t="s">
        <v>31</v>
      </c>
      <c r="C36" s="24">
        <f>+C35+C34</f>
        <v>30000</v>
      </c>
      <c r="D36" s="9">
        <f>+C36/(C36+C42)</f>
        <v>0.17647058823529413</v>
      </c>
      <c r="E36" s="23">
        <f>+F36*D36</f>
        <v>264705.8823529412</v>
      </c>
      <c r="F36" s="1">
        <v>1500000</v>
      </c>
    </row>
    <row r="37" spans="2:6" ht="14" customHeight="1" x14ac:dyDescent="0.2">
      <c r="B37" s="7" t="s">
        <v>32</v>
      </c>
      <c r="C37" s="8"/>
      <c r="D37" s="9"/>
      <c r="E37" s="10"/>
    </row>
    <row r="38" spans="2:6" ht="14" customHeight="1" x14ac:dyDescent="0.2">
      <c r="B38" s="11" t="s">
        <v>33</v>
      </c>
      <c r="C38" s="8"/>
      <c r="D38" s="9"/>
      <c r="E38" s="10"/>
    </row>
    <row r="39" spans="2:6" ht="14" customHeight="1" x14ac:dyDescent="0.2">
      <c r="B39" s="11" t="s">
        <v>35</v>
      </c>
      <c r="C39" s="16">
        <v>70000</v>
      </c>
      <c r="D39" s="9">
        <f>+C39/$C$42</f>
        <v>0.5</v>
      </c>
      <c r="E39" s="10">
        <f>+D39*$E$42</f>
        <v>617647.0588235294</v>
      </c>
    </row>
    <row r="40" spans="2:6" ht="14" customHeight="1" x14ac:dyDescent="0.2">
      <c r="B40" s="11" t="s">
        <v>36</v>
      </c>
      <c r="C40" s="16">
        <v>30000</v>
      </c>
      <c r="D40" s="9">
        <f t="shared" ref="D40:D41" si="4">+C40/$C$42</f>
        <v>0.21428571428571427</v>
      </c>
      <c r="E40" s="10">
        <f t="shared" ref="E40:E41" si="5">+D40*$E$42</f>
        <v>264705.88235294115</v>
      </c>
    </row>
    <row r="41" spans="2:6" ht="14" customHeight="1" x14ac:dyDescent="0.2">
      <c r="B41" s="11" t="s">
        <v>34</v>
      </c>
      <c r="C41" s="16">
        <v>40000</v>
      </c>
      <c r="D41" s="9">
        <f t="shared" si="4"/>
        <v>0.2857142857142857</v>
      </c>
      <c r="E41" s="10">
        <f t="shared" si="5"/>
        <v>352941.17647058819</v>
      </c>
    </row>
    <row r="42" spans="2:6" ht="14" customHeight="1" x14ac:dyDescent="0.2">
      <c r="B42" s="13" t="s">
        <v>37</v>
      </c>
      <c r="C42" s="24">
        <f>+C41+C40+C39</f>
        <v>140000</v>
      </c>
      <c r="D42" s="9">
        <f>+C42/(C36+C42)</f>
        <v>0.82352941176470584</v>
      </c>
      <c r="E42" s="23">
        <f>+F36*D42</f>
        <v>1235294.1176470588</v>
      </c>
    </row>
    <row r="43" spans="2:6" ht="14" customHeight="1" x14ac:dyDescent="0.2">
      <c r="B43" s="11" t="s">
        <v>38</v>
      </c>
      <c r="C43" s="22">
        <f>-C14</f>
        <v>-27680</v>
      </c>
      <c r="D43" s="9"/>
      <c r="E43" s="25">
        <f>-E14</f>
        <v>-244235.29411764705</v>
      </c>
    </row>
    <row r="44" spans="2:6" ht="14" customHeight="1" x14ac:dyDescent="0.2">
      <c r="B44" s="17" t="s">
        <v>39</v>
      </c>
      <c r="C44" s="26">
        <f>+C43+C42</f>
        <v>112320</v>
      </c>
      <c r="D44" s="9"/>
      <c r="E44" s="27">
        <f>+E42+E43</f>
        <v>991058.82352941181</v>
      </c>
    </row>
    <row r="45" spans="2:6" ht="14" customHeight="1" x14ac:dyDescent="0.2">
      <c r="B45" s="17" t="s">
        <v>40</v>
      </c>
      <c r="C45" s="26">
        <f>+C44+C36</f>
        <v>142320</v>
      </c>
      <c r="D45" s="9"/>
      <c r="E45" s="27">
        <f>+E44+E36</f>
        <v>1255764.705882353</v>
      </c>
      <c r="F45" s="2">
        <f>+E45/E20</f>
        <v>1</v>
      </c>
    </row>
    <row r="46" spans="2:6" ht="14" customHeight="1" thickBot="1" x14ac:dyDescent="0.25">
      <c r="B46" s="28" t="s">
        <v>41</v>
      </c>
      <c r="C46" s="29">
        <f>+C21</f>
        <v>170000</v>
      </c>
      <c r="D46" s="30"/>
      <c r="E46" s="31">
        <f>+E21</f>
        <v>1500000</v>
      </c>
    </row>
  </sheetData>
  <dataValidations disablePrompts="1" count="1">
    <dataValidation type="list" allowBlank="1" showInputMessage="1" showErrorMessage="1" sqref="F1:F27 F44:F1048576" xr:uid="{F36A06A5-B1D0-D94A-A2A1-DED46A45B544}">
      <formula1>"Fixed,Varriable 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7343A6-EE7C-814F-A826-5B88FE44328E}">
  <dimension ref="B2:I16"/>
  <sheetViews>
    <sheetView zoomScale="95" zoomScaleNormal="95" workbookViewId="0">
      <selection activeCell="C10" sqref="C10"/>
    </sheetView>
  </sheetViews>
  <sheetFormatPr baseColWidth="10" defaultRowHeight="16" x14ac:dyDescent="0.2"/>
  <cols>
    <col min="2" max="2" width="18.33203125" bestFit="1" customWidth="1"/>
    <col min="4" max="8" width="13" customWidth="1"/>
    <col min="9" max="9" width="18.1640625" style="2" customWidth="1"/>
  </cols>
  <sheetData>
    <row r="2" spans="2:9" x14ac:dyDescent="0.2">
      <c r="G2">
        <f>+POWER(4,0.25)</f>
        <v>1.4142135623730949</v>
      </c>
      <c r="H2">
        <f>+G2*G2*G2*G2</f>
        <v>3.9999999999999987</v>
      </c>
    </row>
    <row r="3" spans="2:9" ht="35" thickBot="1" x14ac:dyDescent="0.25">
      <c r="B3" s="33" t="s">
        <v>47</v>
      </c>
      <c r="I3" s="43" t="s">
        <v>54</v>
      </c>
    </row>
    <row r="4" spans="2:9" ht="20" customHeight="1" x14ac:dyDescent="0.2">
      <c r="B4" s="34"/>
      <c r="C4" s="4"/>
      <c r="D4" s="35">
        <v>2020</v>
      </c>
      <c r="E4" s="35">
        <v>2021</v>
      </c>
      <c r="F4" s="35">
        <v>2022</v>
      </c>
      <c r="G4" s="35">
        <v>2023</v>
      </c>
      <c r="H4" s="35">
        <v>2024</v>
      </c>
      <c r="I4" s="44"/>
    </row>
    <row r="5" spans="2:9" ht="20" customHeight="1" x14ac:dyDescent="0.2">
      <c r="B5" s="11" t="s">
        <v>48</v>
      </c>
      <c r="C5" s="48" t="s">
        <v>49</v>
      </c>
      <c r="D5" s="8"/>
      <c r="E5" s="8"/>
      <c r="F5" s="8"/>
      <c r="G5" s="8"/>
      <c r="H5" s="8"/>
      <c r="I5" s="45"/>
    </row>
    <row r="6" spans="2:9" ht="20" customHeight="1" x14ac:dyDescent="0.2">
      <c r="B6" s="11" t="s">
        <v>53</v>
      </c>
      <c r="C6" s="41">
        <v>0.08</v>
      </c>
      <c r="D6" s="12">
        <v>20000</v>
      </c>
      <c r="E6" s="12">
        <f>+D6*(1+$C6)</f>
        <v>21600</v>
      </c>
      <c r="F6" s="12">
        <f t="shared" ref="F6:H6" si="0">+E6*(1+$C6)</f>
        <v>23328</v>
      </c>
      <c r="G6" s="12">
        <f t="shared" si="0"/>
        <v>25194.240000000002</v>
      </c>
      <c r="H6" s="12">
        <f t="shared" si="0"/>
        <v>27209.779200000004</v>
      </c>
      <c r="I6" s="46">
        <f>+(POWER(H6/D6,0.25)-1)</f>
        <v>8.0000000000000071E-2</v>
      </c>
    </row>
    <row r="7" spans="2:9" ht="20" customHeight="1" x14ac:dyDescent="0.2">
      <c r="B7" s="11" t="s">
        <v>50</v>
      </c>
      <c r="C7" s="41">
        <v>0.03</v>
      </c>
      <c r="D7" s="12">
        <v>15000</v>
      </c>
      <c r="E7" s="12">
        <f t="shared" ref="E7:H7" si="1">+D7*(1+$C7)</f>
        <v>15450</v>
      </c>
      <c r="F7" s="12">
        <f t="shared" si="1"/>
        <v>15913.5</v>
      </c>
      <c r="G7" s="12">
        <f t="shared" si="1"/>
        <v>16390.904999999999</v>
      </c>
      <c r="H7" s="12">
        <f t="shared" si="1"/>
        <v>16882.632149999998</v>
      </c>
      <c r="I7" s="46">
        <f t="shared" ref="I7:I10" si="2">+(POWER(H7/D7,0.25)-1)</f>
        <v>3.0000000000000027E-2</v>
      </c>
    </row>
    <row r="8" spans="2:9" ht="20" customHeight="1" x14ac:dyDescent="0.2">
      <c r="B8" s="11" t="s">
        <v>51</v>
      </c>
      <c r="C8" s="41">
        <v>0.05</v>
      </c>
      <c r="D8" s="12">
        <v>10000</v>
      </c>
      <c r="E8" s="12">
        <f t="shared" ref="E8:H8" si="3">+D8*(1+$C8)</f>
        <v>10500</v>
      </c>
      <c r="F8" s="12">
        <f t="shared" si="3"/>
        <v>11025</v>
      </c>
      <c r="G8" s="12">
        <f t="shared" si="3"/>
        <v>11576.25</v>
      </c>
      <c r="H8" s="12">
        <f t="shared" si="3"/>
        <v>12155.0625</v>
      </c>
      <c r="I8" s="46">
        <f t="shared" si="2"/>
        <v>5.0000000000000044E-2</v>
      </c>
    </row>
    <row r="9" spans="2:9" ht="20" customHeight="1" x14ac:dyDescent="0.2">
      <c r="B9" s="11" t="s">
        <v>8</v>
      </c>
      <c r="C9" s="41">
        <v>5.0000000000000001E-3</v>
      </c>
      <c r="D9" s="12">
        <v>5000</v>
      </c>
      <c r="E9" s="12">
        <f t="shared" ref="E9:H9" si="4">+D9*(1+$C9)</f>
        <v>5024.9999999999991</v>
      </c>
      <c r="F9" s="12">
        <f t="shared" si="4"/>
        <v>5050.1249999999982</v>
      </c>
      <c r="G9" s="12">
        <f t="shared" si="4"/>
        <v>5075.3756249999979</v>
      </c>
      <c r="H9" s="12">
        <f t="shared" si="4"/>
        <v>5100.752503124997</v>
      </c>
      <c r="I9" s="46">
        <f t="shared" si="2"/>
        <v>4.9999999999998934E-3</v>
      </c>
    </row>
    <row r="10" spans="2:9" ht="20" customHeight="1" thickBot="1" x14ac:dyDescent="0.25">
      <c r="B10" s="36" t="s">
        <v>52</v>
      </c>
      <c r="C10" s="42">
        <f>+I10</f>
        <v>5.2465822910223059E-2</v>
      </c>
      <c r="D10" s="37">
        <f>D9+D8+D7+D6</f>
        <v>50000</v>
      </c>
      <c r="E10" s="37">
        <f t="shared" ref="E10:H10" si="5">E9+E8+E7+E6</f>
        <v>52575</v>
      </c>
      <c r="F10" s="37">
        <f t="shared" si="5"/>
        <v>55316.625</v>
      </c>
      <c r="G10" s="37">
        <f t="shared" si="5"/>
        <v>58236.770625000005</v>
      </c>
      <c r="H10" s="37">
        <f t="shared" si="5"/>
        <v>61348.226353124999</v>
      </c>
      <c r="I10" s="47">
        <f t="shared" si="2"/>
        <v>5.2465822910223059E-2</v>
      </c>
    </row>
    <row r="12" spans="2:9" x14ac:dyDescent="0.2">
      <c r="D12" s="38"/>
      <c r="E12" s="1"/>
      <c r="H12" s="1"/>
    </row>
    <row r="13" spans="2:9" x14ac:dyDescent="0.2">
      <c r="D13" s="39"/>
      <c r="E13" s="39"/>
      <c r="F13" s="39"/>
      <c r="G13" s="39"/>
      <c r="H13" s="39"/>
    </row>
    <row r="14" spans="2:9" x14ac:dyDescent="0.2">
      <c r="D14" s="39"/>
      <c r="E14" s="39"/>
      <c r="F14" s="39"/>
      <c r="G14" s="39"/>
      <c r="H14" s="39"/>
    </row>
    <row r="15" spans="2:9" x14ac:dyDescent="0.2">
      <c r="D15" s="39"/>
    </row>
    <row r="16" spans="2:9" x14ac:dyDescent="0.2">
      <c r="D16" s="40"/>
    </row>
  </sheetData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5CF489-ADCC-D548-9A2C-A89DBFBF7F26}">
  <dimension ref="B1:T16"/>
  <sheetViews>
    <sheetView workbookViewId="0">
      <selection activeCell="D14" sqref="D14"/>
    </sheetView>
  </sheetViews>
  <sheetFormatPr baseColWidth="10" defaultRowHeight="16" x14ac:dyDescent="0.2"/>
  <cols>
    <col min="2" max="2" width="24.83203125" bestFit="1" customWidth="1"/>
    <col min="3" max="5" width="11.5" bestFit="1" customWidth="1"/>
    <col min="6" max="6" width="11.5" style="53" customWidth="1"/>
    <col min="7" max="7" width="15.6640625" bestFit="1" customWidth="1"/>
    <col min="8" max="8" width="13.33203125" bestFit="1" customWidth="1"/>
    <col min="20" max="20" width="11.5" bestFit="1" customWidth="1"/>
  </cols>
  <sheetData>
    <row r="1" spans="2:20" x14ac:dyDescent="0.2">
      <c r="H1" s="2">
        <v>0.05</v>
      </c>
      <c r="I1" s="2">
        <v>0.05</v>
      </c>
      <c r="J1" s="2">
        <v>0.06</v>
      </c>
      <c r="K1" s="2">
        <v>7.0000000000000007E-2</v>
      </c>
      <c r="L1" s="2">
        <v>0.1</v>
      </c>
      <c r="M1" s="2">
        <v>0.13</v>
      </c>
      <c r="N1" s="2">
        <v>0.12</v>
      </c>
      <c r="O1" s="2">
        <v>0.1</v>
      </c>
      <c r="P1" s="2">
        <v>0.09</v>
      </c>
      <c r="Q1" s="2">
        <v>0.08</v>
      </c>
      <c r="R1" s="2">
        <v>0.08</v>
      </c>
      <c r="S1" s="2">
        <v>7.0000000000000007E-2</v>
      </c>
    </row>
    <row r="2" spans="2:20" ht="17" thickBot="1" x14ac:dyDescent="0.25">
      <c r="C2" s="2">
        <v>0.1</v>
      </c>
    </row>
    <row r="3" spans="2:20" ht="17" thickBot="1" x14ac:dyDescent="0.25">
      <c r="B3" s="68" t="s">
        <v>55</v>
      </c>
      <c r="H3" s="51" t="s">
        <v>65</v>
      </c>
    </row>
    <row r="4" spans="2:20" x14ac:dyDescent="0.2">
      <c r="B4" s="34"/>
      <c r="C4" s="57">
        <v>2020</v>
      </c>
      <c r="D4" s="57">
        <v>2021</v>
      </c>
      <c r="E4" s="58">
        <v>2022</v>
      </c>
      <c r="F4" s="54"/>
      <c r="H4" s="52" t="s">
        <v>66</v>
      </c>
      <c r="I4" s="52" t="s">
        <v>67</v>
      </c>
      <c r="J4" s="52" t="s">
        <v>68</v>
      </c>
      <c r="K4" s="52" t="s">
        <v>69</v>
      </c>
      <c r="L4" s="52" t="s">
        <v>70</v>
      </c>
      <c r="M4" s="52" t="s">
        <v>71</v>
      </c>
      <c r="N4" s="52" t="s">
        <v>72</v>
      </c>
      <c r="O4" s="52" t="s">
        <v>73</v>
      </c>
      <c r="P4" s="52" t="s">
        <v>74</v>
      </c>
      <c r="Q4" s="52" t="s">
        <v>75</v>
      </c>
      <c r="R4" s="52" t="s">
        <v>76</v>
      </c>
      <c r="S4" s="52" t="s">
        <v>77</v>
      </c>
      <c r="T4" s="1">
        <f>SUM(H1:S1)</f>
        <v>1</v>
      </c>
    </row>
    <row r="5" spans="2:20" x14ac:dyDescent="0.2">
      <c r="B5" s="11" t="s">
        <v>59</v>
      </c>
      <c r="C5" s="16">
        <v>900000</v>
      </c>
      <c r="D5" s="8">
        <f t="shared" ref="D5:E7" si="0">+C5*(1+$C$2)</f>
        <v>990000.00000000012</v>
      </c>
      <c r="E5" s="59">
        <f t="shared" si="0"/>
        <v>1089000.0000000002</v>
      </c>
      <c r="G5" t="s">
        <v>59</v>
      </c>
      <c r="H5" s="1">
        <f>+H$1*$C5</f>
        <v>45000</v>
      </c>
      <c r="I5" s="1">
        <f t="shared" ref="H5:S7" si="1">+I$1*$C5</f>
        <v>45000</v>
      </c>
      <c r="J5" s="1">
        <f t="shared" si="1"/>
        <v>54000</v>
      </c>
      <c r="K5" s="1">
        <f t="shared" si="1"/>
        <v>63000.000000000007</v>
      </c>
      <c r="L5" s="1">
        <f t="shared" si="1"/>
        <v>90000</v>
      </c>
      <c r="M5" s="1">
        <f t="shared" si="1"/>
        <v>117000</v>
      </c>
      <c r="N5" s="1">
        <f t="shared" si="1"/>
        <v>108000</v>
      </c>
      <c r="O5" s="1">
        <f t="shared" si="1"/>
        <v>90000</v>
      </c>
      <c r="P5" s="1">
        <f t="shared" si="1"/>
        <v>81000</v>
      </c>
      <c r="Q5" s="1">
        <f t="shared" si="1"/>
        <v>72000</v>
      </c>
      <c r="R5" s="1">
        <f t="shared" si="1"/>
        <v>72000</v>
      </c>
      <c r="S5" s="1">
        <f t="shared" si="1"/>
        <v>63000.000000000007</v>
      </c>
      <c r="T5" s="1">
        <f t="shared" ref="T5:T7" si="2">SUM(H5:S5)</f>
        <v>900000</v>
      </c>
    </row>
    <row r="6" spans="2:20" x14ac:dyDescent="0.2">
      <c r="B6" s="11" t="s">
        <v>60</v>
      </c>
      <c r="C6" s="16">
        <v>800000</v>
      </c>
      <c r="D6" s="8">
        <f t="shared" si="0"/>
        <v>880000.00000000012</v>
      </c>
      <c r="E6" s="59">
        <f t="shared" si="0"/>
        <v>968000.00000000023</v>
      </c>
      <c r="G6" t="s">
        <v>60</v>
      </c>
      <c r="H6" s="1">
        <f t="shared" si="1"/>
        <v>40000</v>
      </c>
      <c r="I6" s="1">
        <f t="shared" si="1"/>
        <v>40000</v>
      </c>
      <c r="J6" s="1">
        <f t="shared" si="1"/>
        <v>48000</v>
      </c>
      <c r="K6" s="1">
        <f t="shared" si="1"/>
        <v>56000.000000000007</v>
      </c>
      <c r="L6" s="1">
        <f t="shared" si="1"/>
        <v>80000</v>
      </c>
      <c r="M6" s="1">
        <f t="shared" si="1"/>
        <v>104000</v>
      </c>
      <c r="N6" s="1">
        <f t="shared" si="1"/>
        <v>96000</v>
      </c>
      <c r="O6" s="1">
        <f t="shared" si="1"/>
        <v>80000</v>
      </c>
      <c r="P6" s="1">
        <f t="shared" si="1"/>
        <v>72000</v>
      </c>
      <c r="Q6" s="1">
        <f t="shared" si="1"/>
        <v>64000</v>
      </c>
      <c r="R6" s="1">
        <f t="shared" si="1"/>
        <v>64000</v>
      </c>
      <c r="S6" s="1">
        <f t="shared" si="1"/>
        <v>56000.000000000007</v>
      </c>
      <c r="T6" s="1">
        <f t="shared" si="2"/>
        <v>800000</v>
      </c>
    </row>
    <row r="7" spans="2:20" x14ac:dyDescent="0.2">
      <c r="B7" s="11" t="s">
        <v>61</v>
      </c>
      <c r="C7" s="16">
        <v>650000</v>
      </c>
      <c r="D7" s="8">
        <f t="shared" si="0"/>
        <v>715000</v>
      </c>
      <c r="E7" s="59">
        <f t="shared" si="0"/>
        <v>786500.00000000012</v>
      </c>
      <c r="G7" t="s">
        <v>61</v>
      </c>
      <c r="H7" s="1">
        <f t="shared" si="1"/>
        <v>32500</v>
      </c>
      <c r="I7" s="1">
        <f t="shared" si="1"/>
        <v>32500</v>
      </c>
      <c r="J7" s="1">
        <f t="shared" si="1"/>
        <v>39000</v>
      </c>
      <c r="K7" s="1">
        <f t="shared" si="1"/>
        <v>45500.000000000007</v>
      </c>
      <c r="L7" s="1">
        <f t="shared" si="1"/>
        <v>65000</v>
      </c>
      <c r="M7" s="1">
        <f t="shared" si="1"/>
        <v>84500</v>
      </c>
      <c r="N7" s="1">
        <f t="shared" si="1"/>
        <v>78000</v>
      </c>
      <c r="O7" s="1">
        <f t="shared" si="1"/>
        <v>65000</v>
      </c>
      <c r="P7" s="1">
        <f t="shared" si="1"/>
        <v>58500</v>
      </c>
      <c r="Q7" s="1">
        <f t="shared" si="1"/>
        <v>52000</v>
      </c>
      <c r="R7" s="1">
        <f t="shared" si="1"/>
        <v>52000</v>
      </c>
      <c r="S7" s="1">
        <f t="shared" si="1"/>
        <v>45500.000000000007</v>
      </c>
      <c r="T7" s="1">
        <f t="shared" si="2"/>
        <v>650000</v>
      </c>
    </row>
    <row r="8" spans="2:20" ht="17" thickBot="1" x14ac:dyDescent="0.25">
      <c r="B8" s="60" t="s">
        <v>62</v>
      </c>
      <c r="C8" s="61">
        <f>SUM(C5:C7)</f>
        <v>2350000</v>
      </c>
      <c r="D8" s="61">
        <f t="shared" ref="D8:E8" si="3">SUM(D5:D7)</f>
        <v>2585000</v>
      </c>
      <c r="E8" s="62">
        <f t="shared" si="3"/>
        <v>2843500.0000000005</v>
      </c>
      <c r="F8" s="55"/>
    </row>
    <row r="9" spans="2:20" x14ac:dyDescent="0.2">
      <c r="B9" s="11" t="s">
        <v>63</v>
      </c>
      <c r="C9" s="57">
        <v>2020</v>
      </c>
      <c r="D9" s="57">
        <v>2021</v>
      </c>
      <c r="E9" s="58">
        <v>2022</v>
      </c>
      <c r="F9" s="54"/>
    </row>
    <row r="10" spans="2:20" x14ac:dyDescent="0.2">
      <c r="B10" s="11" t="s">
        <v>59</v>
      </c>
      <c r="C10" s="12">
        <f>0.4*C15</f>
        <v>376000</v>
      </c>
      <c r="D10" s="12">
        <f t="shared" ref="D10:E12" si="4">+C10*(1+$C$2)</f>
        <v>413600.00000000006</v>
      </c>
      <c r="E10" s="10">
        <f t="shared" si="4"/>
        <v>454960.00000000012</v>
      </c>
      <c r="F10" s="56"/>
      <c r="H10" s="49"/>
      <c r="I10" s="50"/>
    </row>
    <row r="11" spans="2:20" x14ac:dyDescent="0.2">
      <c r="B11" s="11" t="s">
        <v>60</v>
      </c>
      <c r="C11" s="12">
        <f>0.35*C15</f>
        <v>329000</v>
      </c>
      <c r="D11" s="12">
        <f t="shared" si="4"/>
        <v>361900.00000000006</v>
      </c>
      <c r="E11" s="10">
        <f t="shared" si="4"/>
        <v>398090.00000000012</v>
      </c>
      <c r="F11" s="56"/>
    </row>
    <row r="12" spans="2:20" x14ac:dyDescent="0.2">
      <c r="B12" s="11" t="s">
        <v>61</v>
      </c>
      <c r="C12" s="12">
        <f>0.25*C15</f>
        <v>235000</v>
      </c>
      <c r="D12" s="12">
        <f t="shared" si="4"/>
        <v>258500.00000000003</v>
      </c>
      <c r="E12" s="10">
        <f t="shared" si="4"/>
        <v>284350.00000000006</v>
      </c>
      <c r="F12" s="56"/>
    </row>
    <row r="13" spans="2:20" ht="17" thickBot="1" x14ac:dyDescent="0.25">
      <c r="B13" s="65" t="s">
        <v>64</v>
      </c>
      <c r="C13" s="66">
        <f>SUM(C10:C12)</f>
        <v>940000</v>
      </c>
      <c r="D13" s="66">
        <f t="shared" ref="D13:E13" si="5">SUM(D10:D12)</f>
        <v>1034000.0000000001</v>
      </c>
      <c r="E13" s="67">
        <f t="shared" si="5"/>
        <v>1137400.0000000002</v>
      </c>
      <c r="F13" s="55"/>
    </row>
    <row r="15" spans="2:20" x14ac:dyDescent="0.2">
      <c r="C15">
        <f>0.4*C8</f>
        <v>940000</v>
      </c>
    </row>
    <row r="16" spans="2:20" x14ac:dyDescent="0.2">
      <c r="C16" s="2">
        <f>+C13/C8</f>
        <v>0.4</v>
      </c>
    </row>
  </sheetData>
  <phoneticPr fontId="3" type="noConversion"/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AC3CBA-F1FA-F34C-A560-DCD311B2476A}">
  <dimension ref="B1:E15"/>
  <sheetViews>
    <sheetView zoomScale="98" zoomScaleNormal="98" workbookViewId="0">
      <selection activeCell="D9" sqref="D9"/>
    </sheetView>
  </sheetViews>
  <sheetFormatPr baseColWidth="10" defaultRowHeight="16" x14ac:dyDescent="0.2"/>
  <cols>
    <col min="2" max="2" width="18.1640625" customWidth="1"/>
    <col min="3" max="3" width="14.33203125" bestFit="1" customWidth="1"/>
    <col min="4" max="4" width="20.1640625" bestFit="1" customWidth="1"/>
    <col min="5" max="5" width="11.6640625" bestFit="1" customWidth="1"/>
  </cols>
  <sheetData>
    <row r="1" spans="2:5" x14ac:dyDescent="0.2">
      <c r="C1" s="2">
        <v>0.1</v>
      </c>
    </row>
    <row r="2" spans="2:5" ht="17" thickBot="1" x14ac:dyDescent="0.25"/>
    <row r="3" spans="2:5" ht="20" customHeight="1" x14ac:dyDescent="0.2">
      <c r="B3" s="73" t="s">
        <v>78</v>
      </c>
      <c r="C3" s="74"/>
      <c r="D3" s="74"/>
      <c r="E3" s="75"/>
    </row>
    <row r="4" spans="2:5" ht="20" customHeight="1" x14ac:dyDescent="0.2">
      <c r="B4" s="76"/>
      <c r="C4" s="69" t="s">
        <v>56</v>
      </c>
      <c r="D4" s="69" t="s">
        <v>57</v>
      </c>
      <c r="E4" s="70" t="s">
        <v>58</v>
      </c>
    </row>
    <row r="5" spans="2:5" ht="20" customHeight="1" x14ac:dyDescent="0.2">
      <c r="B5" s="83" t="s">
        <v>79</v>
      </c>
      <c r="C5" s="77">
        <f>15000*12</f>
        <v>180000</v>
      </c>
      <c r="D5" s="77">
        <f>+C5*($C$1+1)</f>
        <v>198000.00000000003</v>
      </c>
      <c r="E5" s="78">
        <f>+D5*($C$1+1)</f>
        <v>217800.00000000006</v>
      </c>
    </row>
    <row r="6" spans="2:5" ht="20" customHeight="1" x14ac:dyDescent="0.2">
      <c r="B6" s="83" t="s">
        <v>88</v>
      </c>
      <c r="C6" s="77">
        <f>2*4000*12</f>
        <v>96000</v>
      </c>
      <c r="D6" s="77">
        <f t="shared" ref="D6:E6" si="0">+C6*($C$1+1)</f>
        <v>105600.00000000001</v>
      </c>
      <c r="E6" s="78">
        <f t="shared" si="0"/>
        <v>116160.00000000003</v>
      </c>
    </row>
    <row r="7" spans="2:5" ht="20" customHeight="1" x14ac:dyDescent="0.2">
      <c r="B7" s="83" t="s">
        <v>80</v>
      </c>
      <c r="C7" s="77">
        <f>4*2500*12</f>
        <v>120000</v>
      </c>
      <c r="D7" s="77">
        <f t="shared" ref="D7:E7" si="1">+C7*($C$1+1)</f>
        <v>132000</v>
      </c>
      <c r="E7" s="78">
        <f t="shared" si="1"/>
        <v>145200</v>
      </c>
    </row>
    <row r="8" spans="2:5" ht="20" customHeight="1" x14ac:dyDescent="0.2">
      <c r="B8" s="79" t="s">
        <v>81</v>
      </c>
      <c r="C8" s="71">
        <v>7</v>
      </c>
      <c r="D8" s="71">
        <v>8</v>
      </c>
      <c r="E8" s="72">
        <v>8</v>
      </c>
    </row>
    <row r="9" spans="2:5" ht="20" customHeight="1" thickBot="1" x14ac:dyDescent="0.25">
      <c r="B9" s="80" t="s">
        <v>82</v>
      </c>
      <c r="C9" s="81">
        <f>SUM(C5:C7)</f>
        <v>396000</v>
      </c>
      <c r="D9" s="81">
        <f t="shared" ref="D9:E9" si="2">SUM(D5:D7)</f>
        <v>435600.00000000006</v>
      </c>
      <c r="E9" s="82">
        <f t="shared" si="2"/>
        <v>479160.00000000012</v>
      </c>
    </row>
    <row r="10" spans="2:5" x14ac:dyDescent="0.2">
      <c r="C10" t="s">
        <v>87</v>
      </c>
    </row>
    <row r="15" spans="2:5" x14ac:dyDescent="0.2">
      <c r="B15" s="84" t="s">
        <v>89</v>
      </c>
      <c r="C15" s="84" t="s">
        <v>83</v>
      </c>
      <c r="D15" s="84" t="s">
        <v>84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E4EE00-2453-324C-AF96-A08C9EEF05F0}">
  <dimension ref="A2:AG38"/>
  <sheetViews>
    <sheetView topLeftCell="Q20" zoomScale="88" zoomScaleNormal="88" workbookViewId="0">
      <selection activeCell="C35" sqref="C35"/>
    </sheetView>
  </sheetViews>
  <sheetFormatPr baseColWidth="10" defaultRowHeight="16" outlineLevelRow="1" x14ac:dyDescent="0.2"/>
  <cols>
    <col min="2" max="2" width="26.5" bestFit="1" customWidth="1"/>
    <col min="3" max="3" width="13.5" customWidth="1"/>
    <col min="4" max="4" width="14.5" customWidth="1"/>
    <col min="5" max="5" width="13.5" customWidth="1"/>
    <col min="7" max="7" width="19.1640625" bestFit="1" customWidth="1"/>
    <col min="8" max="9" width="9.83203125" bestFit="1" customWidth="1"/>
    <col min="10" max="10" width="12.1640625" bestFit="1" customWidth="1"/>
    <col min="11" max="12" width="10.83203125" bestFit="1" customWidth="1"/>
    <col min="13" max="13" width="10.6640625" bestFit="1" customWidth="1"/>
    <col min="14" max="19" width="11" bestFit="1" customWidth="1"/>
    <col min="20" max="20" width="13.1640625" bestFit="1" customWidth="1"/>
    <col min="21" max="26" width="12.6640625" bestFit="1" customWidth="1"/>
    <col min="27" max="33" width="14.33203125" bestFit="1" customWidth="1"/>
  </cols>
  <sheetData>
    <row r="2" spans="2:33" ht="17" thickBot="1" x14ac:dyDescent="0.25"/>
    <row r="3" spans="2:33" x14ac:dyDescent="0.2">
      <c r="B3" s="3" t="s">
        <v>90</v>
      </c>
      <c r="C3" s="4"/>
      <c r="D3" s="4"/>
      <c r="E3" s="86"/>
    </row>
    <row r="4" spans="2:33" x14ac:dyDescent="0.2">
      <c r="B4" s="11"/>
      <c r="C4" s="89">
        <v>2020</v>
      </c>
      <c r="D4" s="89">
        <v>2021</v>
      </c>
      <c r="E4" s="90">
        <v>2022</v>
      </c>
    </row>
    <row r="5" spans="2:33" x14ac:dyDescent="0.2">
      <c r="B5" s="87" t="s">
        <v>91</v>
      </c>
      <c r="C5" s="91">
        <v>0.1</v>
      </c>
      <c r="D5" s="91">
        <v>0.1</v>
      </c>
      <c r="E5" s="92">
        <v>0.1</v>
      </c>
    </row>
    <row r="6" spans="2:33" x14ac:dyDescent="0.2">
      <c r="B6" s="87" t="s">
        <v>92</v>
      </c>
      <c r="C6" s="91">
        <v>0.1</v>
      </c>
      <c r="D6" s="91">
        <v>0.1</v>
      </c>
      <c r="E6" s="92">
        <v>0.1</v>
      </c>
    </row>
    <row r="7" spans="2:33" ht="17" thickBot="1" x14ac:dyDescent="0.25">
      <c r="B7" s="88" t="s">
        <v>93</v>
      </c>
      <c r="C7" s="93">
        <v>0.15</v>
      </c>
      <c r="D7" s="93">
        <v>0.15</v>
      </c>
      <c r="E7" s="94">
        <v>0.15</v>
      </c>
    </row>
    <row r="8" spans="2:33" x14ac:dyDescent="0.2">
      <c r="C8" s="2"/>
      <c r="D8" s="2"/>
      <c r="E8" s="2"/>
    </row>
    <row r="10" spans="2:33" ht="17" thickBot="1" x14ac:dyDescent="0.25">
      <c r="L10" s="127" t="s">
        <v>150</v>
      </c>
      <c r="M10" s="127"/>
      <c r="U10" s="2">
        <v>0.05</v>
      </c>
      <c r="V10" s="2">
        <v>0.05</v>
      </c>
      <c r="W10" s="2">
        <v>0.06</v>
      </c>
      <c r="X10" s="2">
        <v>7.0000000000000007E-2</v>
      </c>
      <c r="Y10" s="2">
        <v>0.1</v>
      </c>
      <c r="Z10" s="2">
        <v>0.13</v>
      </c>
      <c r="AA10" s="2">
        <v>0.12</v>
      </c>
      <c r="AB10" s="2">
        <v>0.1</v>
      </c>
      <c r="AC10" s="2">
        <v>0.09</v>
      </c>
      <c r="AD10" s="2">
        <v>0.08</v>
      </c>
      <c r="AE10" s="2">
        <v>0.08</v>
      </c>
      <c r="AF10" s="2">
        <v>7.0000000000000007E-2</v>
      </c>
    </row>
    <row r="11" spans="2:33" x14ac:dyDescent="0.2">
      <c r="B11" s="3" t="s">
        <v>94</v>
      </c>
      <c r="C11" s="4"/>
      <c r="D11" s="4"/>
      <c r="E11" s="86"/>
    </row>
    <row r="12" spans="2:33" x14ac:dyDescent="0.2">
      <c r="B12" s="11"/>
      <c r="C12" s="89">
        <v>2020</v>
      </c>
      <c r="D12" s="89">
        <v>2021</v>
      </c>
      <c r="E12" s="90">
        <v>2022</v>
      </c>
      <c r="H12" s="128" t="s">
        <v>103</v>
      </c>
      <c r="I12" s="128" t="s">
        <v>104</v>
      </c>
      <c r="J12" s="128" t="s">
        <v>105</v>
      </c>
      <c r="K12" s="128" t="s">
        <v>106</v>
      </c>
      <c r="L12" s="128" t="s">
        <v>107</v>
      </c>
      <c r="M12" s="128" t="s">
        <v>108</v>
      </c>
      <c r="N12" s="128" t="s">
        <v>109</v>
      </c>
      <c r="O12" s="128" t="s">
        <v>110</v>
      </c>
      <c r="P12" s="128" t="s">
        <v>111</v>
      </c>
      <c r="Q12" s="128" t="s">
        <v>112</v>
      </c>
      <c r="R12" s="128" t="s">
        <v>113</v>
      </c>
      <c r="S12" s="128" t="s">
        <v>114</v>
      </c>
      <c r="U12" s="52" t="s">
        <v>103</v>
      </c>
      <c r="V12" s="52" t="s">
        <v>104</v>
      </c>
      <c r="W12" s="52" t="s">
        <v>105</v>
      </c>
      <c r="X12" s="52" t="s">
        <v>106</v>
      </c>
      <c r="Y12" s="52" t="s">
        <v>107</v>
      </c>
      <c r="Z12" s="52" t="s">
        <v>108</v>
      </c>
      <c r="AA12" s="52" t="s">
        <v>109</v>
      </c>
      <c r="AB12" s="52" t="s">
        <v>110</v>
      </c>
      <c r="AC12" s="52" t="s">
        <v>111</v>
      </c>
      <c r="AD12" s="52" t="s">
        <v>112</v>
      </c>
      <c r="AE12" s="52" t="s">
        <v>113</v>
      </c>
      <c r="AF12" s="52" t="s">
        <v>114</v>
      </c>
    </row>
    <row r="13" spans="2:33" x14ac:dyDescent="0.2">
      <c r="B13" s="11" t="s">
        <v>131</v>
      </c>
      <c r="C13" s="8"/>
      <c r="D13" s="8"/>
      <c r="E13" s="59"/>
      <c r="G13" s="11" t="s">
        <v>131</v>
      </c>
      <c r="H13" s="129"/>
      <c r="I13" s="129"/>
      <c r="J13" s="129"/>
      <c r="K13" s="129"/>
      <c r="L13" s="129"/>
      <c r="M13" s="129"/>
      <c r="N13" s="129"/>
      <c r="O13" s="129"/>
      <c r="P13" s="129"/>
      <c r="Q13" s="129"/>
      <c r="R13" s="129"/>
      <c r="S13" s="129"/>
      <c r="T13" t="s">
        <v>101</v>
      </c>
      <c r="U13" s="1">
        <f>+H33</f>
        <v>41555.882352941175</v>
      </c>
      <c r="V13" s="1">
        <f>+U13+I33</f>
        <v>83111.76470588235</v>
      </c>
      <c r="W13" s="1">
        <f t="shared" ref="W13:AF13" si="0">+V13+J33</f>
        <v>132978.82352941175</v>
      </c>
      <c r="X13" s="1">
        <f t="shared" si="0"/>
        <v>191157.0588235294</v>
      </c>
      <c r="Y13" s="1">
        <f t="shared" si="0"/>
        <v>274268.82352941175</v>
      </c>
      <c r="Z13" s="1">
        <f t="shared" si="0"/>
        <v>382314.1176470588</v>
      </c>
      <c r="AA13" s="1">
        <f t="shared" si="0"/>
        <v>482048.23529411759</v>
      </c>
      <c r="AB13" s="1">
        <f t="shared" si="0"/>
        <v>565160</v>
      </c>
      <c r="AC13" s="1">
        <f t="shared" si="0"/>
        <v>639960.5882352941</v>
      </c>
      <c r="AD13" s="1">
        <f t="shared" si="0"/>
        <v>706450</v>
      </c>
      <c r="AE13" s="1">
        <f t="shared" si="0"/>
        <v>772939.4117647059</v>
      </c>
      <c r="AF13" s="1">
        <f t="shared" si="0"/>
        <v>831117.64705882361</v>
      </c>
      <c r="AG13" s="95"/>
    </row>
    <row r="14" spans="2:33" x14ac:dyDescent="0.2">
      <c r="B14" s="11" t="s">
        <v>96</v>
      </c>
      <c r="C14" s="8"/>
      <c r="D14" s="8"/>
      <c r="E14" s="59"/>
      <c r="G14" s="11" t="s">
        <v>96</v>
      </c>
      <c r="H14" s="129"/>
      <c r="I14" s="129"/>
      <c r="J14" s="129"/>
      <c r="K14" s="129"/>
      <c r="L14" s="129"/>
      <c r="M14" s="129"/>
      <c r="N14" s="129"/>
      <c r="O14" s="129"/>
      <c r="P14" s="129"/>
      <c r="Q14" s="129"/>
      <c r="R14" s="129"/>
      <c r="S14" s="129"/>
      <c r="T14" t="s">
        <v>100</v>
      </c>
      <c r="U14" s="1">
        <f>+H35</f>
        <v>633817.64705882361</v>
      </c>
      <c r="V14" s="1">
        <f t="shared" ref="V14:AF14" si="1">+I35</f>
        <v>675373.52941176482</v>
      </c>
      <c r="W14" s="1">
        <f t="shared" si="1"/>
        <v>725240.58823529421</v>
      </c>
      <c r="X14" s="1">
        <f t="shared" si="1"/>
        <v>783418.82352941192</v>
      </c>
      <c r="Y14" s="1">
        <f t="shared" si="1"/>
        <v>866530.58823529421</v>
      </c>
      <c r="Z14" s="1">
        <f t="shared" si="1"/>
        <v>974575.88235294132</v>
      </c>
      <c r="AA14" s="1">
        <f t="shared" si="1"/>
        <v>1074310.0000000002</v>
      </c>
      <c r="AB14" s="1">
        <f t="shared" si="1"/>
        <v>1157421.7647058826</v>
      </c>
      <c r="AC14" s="1">
        <f t="shared" si="1"/>
        <v>1232222.3529411769</v>
      </c>
      <c r="AD14" s="1">
        <f t="shared" si="1"/>
        <v>1298711.7647058829</v>
      </c>
      <c r="AE14" s="1">
        <f t="shared" si="1"/>
        <v>1365201.1764705889</v>
      </c>
      <c r="AF14" s="1">
        <f t="shared" si="1"/>
        <v>1423379.4117647065</v>
      </c>
      <c r="AG14" s="95"/>
    </row>
    <row r="15" spans="2:33" x14ac:dyDescent="0.2">
      <c r="B15" s="99" t="s">
        <v>97</v>
      </c>
      <c r="C15" s="100">
        <f>+'Sales forecasting '!C8</f>
        <v>2350000</v>
      </c>
      <c r="D15" s="100">
        <f>+'Sales forecasting '!D8</f>
        <v>2585000</v>
      </c>
      <c r="E15" s="101">
        <f>+'Sales forecasting '!E8</f>
        <v>2843500.0000000005</v>
      </c>
      <c r="G15" s="99" t="s">
        <v>97</v>
      </c>
      <c r="H15" s="130">
        <f>+$C15*U$10</f>
        <v>117500</v>
      </c>
      <c r="I15" s="130">
        <f t="shared" ref="I15:S15" si="2">+$C15*V$10</f>
        <v>117500</v>
      </c>
      <c r="J15" s="130">
        <f t="shared" si="2"/>
        <v>141000</v>
      </c>
      <c r="K15" s="130">
        <f t="shared" si="2"/>
        <v>164500.00000000003</v>
      </c>
      <c r="L15" s="130">
        <f t="shared" si="2"/>
        <v>235000</v>
      </c>
      <c r="M15" s="130">
        <f t="shared" si="2"/>
        <v>305500</v>
      </c>
      <c r="N15" s="130">
        <f t="shared" si="2"/>
        <v>282000</v>
      </c>
      <c r="O15" s="130">
        <f t="shared" si="2"/>
        <v>235000</v>
      </c>
      <c r="P15" s="130">
        <f t="shared" si="2"/>
        <v>211500</v>
      </c>
      <c r="Q15" s="130">
        <f t="shared" si="2"/>
        <v>188000</v>
      </c>
      <c r="R15" s="130">
        <f t="shared" si="2"/>
        <v>188000</v>
      </c>
      <c r="S15" s="130">
        <f t="shared" si="2"/>
        <v>164500.00000000003</v>
      </c>
    </row>
    <row r="16" spans="2:33" x14ac:dyDescent="0.2">
      <c r="B16" s="118" t="s">
        <v>95</v>
      </c>
      <c r="C16" s="97">
        <f>+C15</f>
        <v>2350000</v>
      </c>
      <c r="D16" s="97">
        <f t="shared" ref="D16:E16" si="3">+D15</f>
        <v>2585000</v>
      </c>
      <c r="E16" s="98">
        <f t="shared" si="3"/>
        <v>2843500.0000000005</v>
      </c>
      <c r="G16" s="118" t="s">
        <v>95</v>
      </c>
      <c r="H16" s="131"/>
      <c r="I16" s="131"/>
      <c r="J16" s="131"/>
      <c r="K16" s="131"/>
      <c r="L16" s="131"/>
      <c r="M16" s="131"/>
      <c r="N16" s="131"/>
      <c r="O16" s="131"/>
      <c r="P16" s="131"/>
      <c r="Q16" s="131"/>
      <c r="R16" s="131"/>
      <c r="S16" s="131"/>
    </row>
    <row r="17" spans="1:19" x14ac:dyDescent="0.2">
      <c r="B17" s="11" t="s">
        <v>132</v>
      </c>
      <c r="C17" s="8"/>
      <c r="D17" s="8"/>
      <c r="E17" s="59"/>
      <c r="G17" s="11" t="s">
        <v>132</v>
      </c>
      <c r="H17" s="131"/>
      <c r="I17" s="131"/>
      <c r="J17" s="131"/>
      <c r="K17" s="131"/>
      <c r="L17" s="131"/>
      <c r="M17" s="131"/>
      <c r="N17" s="131"/>
      <c r="O17" s="131"/>
      <c r="P17" s="131"/>
      <c r="Q17" s="131"/>
      <c r="R17" s="131"/>
      <c r="S17" s="131"/>
    </row>
    <row r="18" spans="1:19" x14ac:dyDescent="0.2">
      <c r="A18" t="s">
        <v>87</v>
      </c>
      <c r="B18" s="99" t="s">
        <v>115</v>
      </c>
      <c r="C18" s="100">
        <f>+'personel plan'!C9</f>
        <v>396000</v>
      </c>
      <c r="D18" s="100">
        <f>+'personel plan'!D9</f>
        <v>435600.00000000006</v>
      </c>
      <c r="E18" s="101">
        <f>+'personel plan'!E9</f>
        <v>479160.00000000012</v>
      </c>
      <c r="G18" s="99" t="s">
        <v>115</v>
      </c>
      <c r="H18" s="132">
        <f>+$C18*U$10</f>
        <v>19800</v>
      </c>
      <c r="I18" s="132">
        <f t="shared" ref="I18" si="4">+$C18*V$10</f>
        <v>19800</v>
      </c>
      <c r="J18" s="132">
        <f t="shared" ref="J18" si="5">+$C18*W$10</f>
        <v>23760</v>
      </c>
      <c r="K18" s="132">
        <f t="shared" ref="K18" si="6">+$C18*X$10</f>
        <v>27720.000000000004</v>
      </c>
      <c r="L18" s="132">
        <f t="shared" ref="L18" si="7">+$C18*Y$10</f>
        <v>39600</v>
      </c>
      <c r="M18" s="132">
        <f t="shared" ref="M18" si="8">+$C18*Z$10</f>
        <v>51480</v>
      </c>
      <c r="N18" s="132">
        <f t="shared" ref="N18" si="9">+$C18*AA$10</f>
        <v>47520</v>
      </c>
      <c r="O18" s="132">
        <f t="shared" ref="O18" si="10">+$C18*AB$10</f>
        <v>39600</v>
      </c>
      <c r="P18" s="132">
        <f t="shared" ref="P18" si="11">+$C18*AC$10</f>
        <v>35640</v>
      </c>
      <c r="Q18" s="132">
        <f t="shared" ref="Q18" si="12">+$C18*AD$10</f>
        <v>31680</v>
      </c>
      <c r="R18" s="132">
        <f t="shared" ref="R18" si="13">+$C18*AE$10</f>
        <v>31680</v>
      </c>
      <c r="S18" s="132">
        <f t="shared" ref="S18" si="14">+$C18*AF$10</f>
        <v>27720.000000000004</v>
      </c>
    </row>
    <row r="19" spans="1:19" x14ac:dyDescent="0.2">
      <c r="B19" s="99" t="s">
        <v>98</v>
      </c>
      <c r="C19" s="100">
        <f>SUM(C20:C31)</f>
        <v>1122882.3529411766</v>
      </c>
      <c r="D19" s="100">
        <f t="shared" ref="D19:E19" si="15">SUM(D20:D31)</f>
        <v>1306617.6470588236</v>
      </c>
      <c r="E19" s="100">
        <f t="shared" si="15"/>
        <v>838967.64705882373</v>
      </c>
      <c r="G19" s="99" t="s">
        <v>98</v>
      </c>
      <c r="H19" s="131"/>
      <c r="I19" s="131"/>
      <c r="J19" s="131"/>
      <c r="K19" s="131"/>
      <c r="L19" s="131"/>
      <c r="M19" s="131"/>
      <c r="N19" s="131"/>
      <c r="O19" s="131"/>
      <c r="P19" s="131"/>
      <c r="Q19" s="131"/>
      <c r="R19" s="131"/>
      <c r="S19" s="131"/>
    </row>
    <row r="20" spans="1:19" outlineLevel="1" x14ac:dyDescent="0.2">
      <c r="B20" s="11" t="s">
        <v>2</v>
      </c>
      <c r="C20" s="12">
        <f>+'Feasibility study'!E6</f>
        <v>11470.588235294117</v>
      </c>
      <c r="D20" s="8"/>
      <c r="E20" s="59"/>
      <c r="G20" s="11" t="s">
        <v>2</v>
      </c>
      <c r="H20" s="132">
        <f t="shared" ref="H20:H31" si="16">+$C20*U$10</f>
        <v>573.52941176470586</v>
      </c>
      <c r="I20" s="132">
        <f t="shared" ref="I20:I31" si="17">+$C20*V$10</f>
        <v>573.52941176470586</v>
      </c>
      <c r="J20" s="132">
        <f t="shared" ref="J20:J31" si="18">+$C20*W$10</f>
        <v>688.23529411764696</v>
      </c>
      <c r="K20" s="132">
        <f t="shared" ref="K20:K31" si="19">+$C20*X$10</f>
        <v>802.94117647058829</v>
      </c>
      <c r="L20" s="132">
        <f t="shared" ref="L20:L31" si="20">+$C20*Y$10</f>
        <v>1147.0588235294117</v>
      </c>
      <c r="M20" s="132">
        <f t="shared" ref="M20:M31" si="21">+$C20*Z$10</f>
        <v>1491.1764705882354</v>
      </c>
      <c r="N20" s="132">
        <f t="shared" ref="N20:N31" si="22">+$C20*AA$10</f>
        <v>1376.4705882352939</v>
      </c>
      <c r="O20" s="132">
        <f t="shared" ref="O20:O31" si="23">+$C20*AB$10</f>
        <v>1147.0588235294117</v>
      </c>
      <c r="P20" s="132">
        <f t="shared" ref="P20:P31" si="24">+$C20*AC$10</f>
        <v>1032.3529411764705</v>
      </c>
      <c r="Q20" s="132">
        <f t="shared" ref="Q20:Q31" si="25">+$C20*AD$10</f>
        <v>917.64705882352939</v>
      </c>
      <c r="R20" s="132">
        <f t="shared" ref="R20:R31" si="26">+$C20*AE$10</f>
        <v>917.64705882352939</v>
      </c>
      <c r="S20" s="132">
        <f t="shared" ref="S20:S31" si="27">+$C20*AF$10</f>
        <v>802.94117647058829</v>
      </c>
    </row>
    <row r="21" spans="1:19" outlineLevel="1" x14ac:dyDescent="0.2">
      <c r="B21" s="11" t="s">
        <v>3</v>
      </c>
      <c r="C21" s="12">
        <v>12000</v>
      </c>
      <c r="D21" s="12">
        <f t="shared" ref="D21:E21" si="28">1000*12</f>
        <v>12000</v>
      </c>
      <c r="E21" s="10">
        <f t="shared" si="28"/>
        <v>12000</v>
      </c>
      <c r="G21" s="11" t="s">
        <v>3</v>
      </c>
      <c r="H21" s="132">
        <f t="shared" si="16"/>
        <v>600</v>
      </c>
      <c r="I21" s="132">
        <f t="shared" si="17"/>
        <v>600</v>
      </c>
      <c r="J21" s="132">
        <f t="shared" si="18"/>
        <v>720</v>
      </c>
      <c r="K21" s="132">
        <f t="shared" si="19"/>
        <v>840.00000000000011</v>
      </c>
      <c r="L21" s="132">
        <f t="shared" si="20"/>
        <v>1200</v>
      </c>
      <c r="M21" s="132">
        <f t="shared" si="21"/>
        <v>1560</v>
      </c>
      <c r="N21" s="132">
        <f t="shared" si="22"/>
        <v>1440</v>
      </c>
      <c r="O21" s="132">
        <f t="shared" si="23"/>
        <v>1200</v>
      </c>
      <c r="P21" s="132">
        <f t="shared" si="24"/>
        <v>1080</v>
      </c>
      <c r="Q21" s="132">
        <f t="shared" si="25"/>
        <v>960</v>
      </c>
      <c r="R21" s="132">
        <f t="shared" si="26"/>
        <v>960</v>
      </c>
      <c r="S21" s="132">
        <f t="shared" si="27"/>
        <v>840.00000000000011</v>
      </c>
    </row>
    <row r="22" spans="1:19" outlineLevel="1" x14ac:dyDescent="0.2">
      <c r="B22" s="11" t="s">
        <v>4</v>
      </c>
      <c r="C22" s="12">
        <v>20000</v>
      </c>
      <c r="D22" s="12">
        <v>20000</v>
      </c>
      <c r="E22" s="10">
        <v>20000</v>
      </c>
      <c r="G22" s="11" t="s">
        <v>4</v>
      </c>
      <c r="H22" s="132">
        <f t="shared" si="16"/>
        <v>1000</v>
      </c>
      <c r="I22" s="132">
        <f t="shared" si="17"/>
        <v>1000</v>
      </c>
      <c r="J22" s="132">
        <f t="shared" si="18"/>
        <v>1200</v>
      </c>
      <c r="K22" s="132">
        <f t="shared" si="19"/>
        <v>1400.0000000000002</v>
      </c>
      <c r="L22" s="132">
        <f t="shared" si="20"/>
        <v>2000</v>
      </c>
      <c r="M22" s="132">
        <f t="shared" si="21"/>
        <v>2600</v>
      </c>
      <c r="N22" s="132">
        <f t="shared" si="22"/>
        <v>2400</v>
      </c>
      <c r="O22" s="132">
        <f t="shared" si="23"/>
        <v>2000</v>
      </c>
      <c r="P22" s="132">
        <f t="shared" si="24"/>
        <v>1800</v>
      </c>
      <c r="Q22" s="132">
        <f t="shared" si="25"/>
        <v>1600</v>
      </c>
      <c r="R22" s="132">
        <f t="shared" si="26"/>
        <v>1600</v>
      </c>
      <c r="S22" s="132">
        <f t="shared" si="27"/>
        <v>1400.0000000000002</v>
      </c>
    </row>
    <row r="23" spans="1:19" outlineLevel="1" x14ac:dyDescent="0.2">
      <c r="A23" t="s">
        <v>87</v>
      </c>
      <c r="B23" s="11" t="s">
        <v>5</v>
      </c>
      <c r="C23" s="12">
        <v>20000</v>
      </c>
      <c r="D23" s="12">
        <v>20000</v>
      </c>
      <c r="E23" s="10">
        <v>20000</v>
      </c>
      <c r="G23" s="11" t="s">
        <v>5</v>
      </c>
      <c r="H23" s="132">
        <f t="shared" si="16"/>
        <v>1000</v>
      </c>
      <c r="I23" s="132">
        <f t="shared" si="17"/>
        <v>1000</v>
      </c>
      <c r="J23" s="132">
        <f t="shared" si="18"/>
        <v>1200</v>
      </c>
      <c r="K23" s="132">
        <f t="shared" si="19"/>
        <v>1400.0000000000002</v>
      </c>
      <c r="L23" s="132">
        <f t="shared" si="20"/>
        <v>2000</v>
      </c>
      <c r="M23" s="132">
        <f t="shared" si="21"/>
        <v>2600</v>
      </c>
      <c r="N23" s="132">
        <f t="shared" si="22"/>
        <v>2400</v>
      </c>
      <c r="O23" s="132">
        <f t="shared" si="23"/>
        <v>2000</v>
      </c>
      <c r="P23" s="132">
        <f t="shared" si="24"/>
        <v>1800</v>
      </c>
      <c r="Q23" s="132">
        <f t="shared" si="25"/>
        <v>1600</v>
      </c>
      <c r="R23" s="132">
        <f t="shared" si="26"/>
        <v>1600</v>
      </c>
      <c r="S23" s="132">
        <f t="shared" si="27"/>
        <v>1400.0000000000002</v>
      </c>
    </row>
    <row r="24" spans="1:19" outlineLevel="1" x14ac:dyDescent="0.2">
      <c r="A24" t="s">
        <v>87</v>
      </c>
      <c r="B24" s="11" t="s">
        <v>6</v>
      </c>
      <c r="C24" s="12">
        <v>50000</v>
      </c>
      <c r="D24" s="12">
        <v>50000</v>
      </c>
      <c r="E24" s="10">
        <v>50000</v>
      </c>
      <c r="G24" s="11" t="s">
        <v>6</v>
      </c>
      <c r="H24" s="132">
        <f t="shared" si="16"/>
        <v>2500</v>
      </c>
      <c r="I24" s="132">
        <f t="shared" si="17"/>
        <v>2500</v>
      </c>
      <c r="J24" s="132">
        <f t="shared" si="18"/>
        <v>3000</v>
      </c>
      <c r="K24" s="132">
        <f t="shared" si="19"/>
        <v>3500.0000000000005</v>
      </c>
      <c r="L24" s="132">
        <f t="shared" si="20"/>
        <v>5000</v>
      </c>
      <c r="M24" s="132">
        <f t="shared" si="21"/>
        <v>6500</v>
      </c>
      <c r="N24" s="132">
        <f t="shared" si="22"/>
        <v>6000</v>
      </c>
      <c r="O24" s="132">
        <f t="shared" si="23"/>
        <v>5000</v>
      </c>
      <c r="P24" s="132">
        <f t="shared" si="24"/>
        <v>4500</v>
      </c>
      <c r="Q24" s="132">
        <f t="shared" si="25"/>
        <v>4000</v>
      </c>
      <c r="R24" s="132">
        <f t="shared" si="26"/>
        <v>4000</v>
      </c>
      <c r="S24" s="132">
        <f t="shared" si="27"/>
        <v>3500.0000000000005</v>
      </c>
    </row>
    <row r="25" spans="1:19" outlineLevel="1" x14ac:dyDescent="0.2">
      <c r="A25" t="s">
        <v>87</v>
      </c>
      <c r="B25" s="11" t="s">
        <v>116</v>
      </c>
      <c r="C25" s="12">
        <v>100000</v>
      </c>
      <c r="D25" s="12">
        <v>100000</v>
      </c>
      <c r="E25" s="10">
        <v>100000</v>
      </c>
      <c r="G25" s="11" t="s">
        <v>116</v>
      </c>
      <c r="H25" s="132">
        <f t="shared" si="16"/>
        <v>5000</v>
      </c>
      <c r="I25" s="132">
        <f t="shared" si="17"/>
        <v>5000</v>
      </c>
      <c r="J25" s="132">
        <f t="shared" si="18"/>
        <v>6000</v>
      </c>
      <c r="K25" s="132">
        <f t="shared" si="19"/>
        <v>7000.0000000000009</v>
      </c>
      <c r="L25" s="132">
        <f t="shared" si="20"/>
        <v>10000</v>
      </c>
      <c r="M25" s="132">
        <f t="shared" si="21"/>
        <v>13000</v>
      </c>
      <c r="N25" s="132">
        <f t="shared" si="22"/>
        <v>12000</v>
      </c>
      <c r="O25" s="132">
        <f t="shared" si="23"/>
        <v>10000</v>
      </c>
      <c r="P25" s="132">
        <f t="shared" si="24"/>
        <v>9000</v>
      </c>
      <c r="Q25" s="132">
        <f t="shared" si="25"/>
        <v>8000</v>
      </c>
      <c r="R25" s="132">
        <f t="shared" si="26"/>
        <v>8000</v>
      </c>
      <c r="S25" s="132">
        <f t="shared" si="27"/>
        <v>7000.0000000000009</v>
      </c>
    </row>
    <row r="26" spans="1:19" outlineLevel="1" x14ac:dyDescent="0.2">
      <c r="B26" s="11" t="s">
        <v>7</v>
      </c>
      <c r="C26" s="12">
        <f>+'Feasibility study'!E12</f>
        <v>88235.294117647063</v>
      </c>
      <c r="D26" s="8"/>
      <c r="E26" s="59"/>
      <c r="G26" s="11" t="s">
        <v>7</v>
      </c>
      <c r="H26" s="132">
        <f t="shared" si="16"/>
        <v>4411.7647058823532</v>
      </c>
      <c r="I26" s="132">
        <f t="shared" si="17"/>
        <v>4411.7647058823532</v>
      </c>
      <c r="J26" s="132">
        <f t="shared" si="18"/>
        <v>5294.1176470588234</v>
      </c>
      <c r="K26" s="132">
        <f t="shared" si="19"/>
        <v>6176.4705882352946</v>
      </c>
      <c r="L26" s="132">
        <f t="shared" si="20"/>
        <v>8823.5294117647063</v>
      </c>
      <c r="M26" s="132">
        <f t="shared" si="21"/>
        <v>11470.588235294119</v>
      </c>
      <c r="N26" s="132">
        <f t="shared" si="22"/>
        <v>10588.235294117647</v>
      </c>
      <c r="O26" s="132">
        <f t="shared" si="23"/>
        <v>8823.5294117647063</v>
      </c>
      <c r="P26" s="132">
        <f t="shared" si="24"/>
        <v>7941.1764705882351</v>
      </c>
      <c r="Q26" s="132">
        <f t="shared" si="25"/>
        <v>7058.8235294117649</v>
      </c>
      <c r="R26" s="132">
        <f t="shared" si="26"/>
        <v>7058.8235294117649</v>
      </c>
      <c r="S26" s="132">
        <f t="shared" si="27"/>
        <v>6176.4705882352946</v>
      </c>
    </row>
    <row r="27" spans="1:19" outlineLevel="1" x14ac:dyDescent="0.2">
      <c r="B27" s="11" t="s">
        <v>8</v>
      </c>
      <c r="C27" s="12">
        <f>+'Feasibility study'!E13</f>
        <v>22058.823529411766</v>
      </c>
      <c r="D27" s="8"/>
      <c r="E27" s="59"/>
      <c r="G27" s="11" t="s">
        <v>8</v>
      </c>
      <c r="H27" s="132">
        <f t="shared" si="16"/>
        <v>1102.9411764705883</v>
      </c>
      <c r="I27" s="132">
        <f t="shared" si="17"/>
        <v>1102.9411764705883</v>
      </c>
      <c r="J27" s="132">
        <f t="shared" si="18"/>
        <v>1323.5294117647059</v>
      </c>
      <c r="K27" s="132">
        <f t="shared" si="19"/>
        <v>1544.1176470588236</v>
      </c>
      <c r="L27" s="132">
        <f t="shared" si="20"/>
        <v>2205.8823529411766</v>
      </c>
      <c r="M27" s="132">
        <f t="shared" si="21"/>
        <v>2867.6470588235297</v>
      </c>
      <c r="N27" s="132">
        <f t="shared" si="22"/>
        <v>2647.0588235294117</v>
      </c>
      <c r="O27" s="132">
        <f t="shared" si="23"/>
        <v>2205.8823529411766</v>
      </c>
      <c r="P27" s="132">
        <f t="shared" si="24"/>
        <v>1985.2941176470588</v>
      </c>
      <c r="Q27" s="132">
        <f t="shared" si="25"/>
        <v>1764.7058823529412</v>
      </c>
      <c r="R27" s="132">
        <f t="shared" si="26"/>
        <v>1764.7058823529412</v>
      </c>
      <c r="S27" s="132">
        <f t="shared" si="27"/>
        <v>1544.1176470588236</v>
      </c>
    </row>
    <row r="28" spans="1:19" outlineLevel="1" x14ac:dyDescent="0.2">
      <c r="B28" s="11" t="str">
        <f>+'Sales forecasting '!B9</f>
        <v xml:space="preserve">Direct Cost of Sales	</v>
      </c>
      <c r="C28" s="12">
        <f>+'Sales forecasting '!C13*0.75</f>
        <v>705000</v>
      </c>
      <c r="D28" s="12">
        <f>+('Sales forecasting '!C13*0.25)+('Sales forecasting '!D13*0.75)</f>
        <v>1010500.0000000001</v>
      </c>
      <c r="E28" s="10">
        <f>+('Sales forecasting '!D13*0.25)+('Sales forecasting '!E13*0.25)</f>
        <v>542850.00000000012</v>
      </c>
      <c r="G28" s="11" t="str">
        <f>+B28</f>
        <v xml:space="preserve">Direct Cost of Sales	</v>
      </c>
      <c r="H28" s="132">
        <f t="shared" si="16"/>
        <v>35250</v>
      </c>
      <c r="I28" s="132">
        <f t="shared" si="17"/>
        <v>35250</v>
      </c>
      <c r="J28" s="132">
        <f t="shared" si="18"/>
        <v>42300</v>
      </c>
      <c r="K28" s="132">
        <f t="shared" si="19"/>
        <v>49350.000000000007</v>
      </c>
      <c r="L28" s="132">
        <f t="shared" si="20"/>
        <v>70500</v>
      </c>
      <c r="M28" s="132">
        <f t="shared" si="21"/>
        <v>91650</v>
      </c>
      <c r="N28" s="132">
        <f t="shared" si="22"/>
        <v>84600</v>
      </c>
      <c r="O28" s="132">
        <f t="shared" si="23"/>
        <v>70500</v>
      </c>
      <c r="P28" s="132">
        <f t="shared" si="24"/>
        <v>63450</v>
      </c>
      <c r="Q28" s="132">
        <f t="shared" si="25"/>
        <v>56400</v>
      </c>
      <c r="R28" s="132">
        <f t="shared" si="26"/>
        <v>56400</v>
      </c>
      <c r="S28" s="132">
        <f t="shared" si="27"/>
        <v>49350.000000000007</v>
      </c>
    </row>
    <row r="29" spans="1:19" outlineLevel="1" x14ac:dyDescent="0.2">
      <c r="B29" s="11" t="s">
        <v>133</v>
      </c>
      <c r="C29" s="12">
        <f>+'Feasibility study'!E34/3</f>
        <v>29411.764705882353</v>
      </c>
      <c r="D29" s="12">
        <v>29411.764705882353</v>
      </c>
      <c r="E29" s="10">
        <v>29411.764705882353</v>
      </c>
      <c r="G29" s="11" t="s">
        <v>133</v>
      </c>
      <c r="H29" s="132">
        <f t="shared" si="16"/>
        <v>1470.5882352941178</v>
      </c>
      <c r="I29" s="132">
        <f t="shared" si="17"/>
        <v>1470.5882352941178</v>
      </c>
      <c r="J29" s="132">
        <f t="shared" si="18"/>
        <v>1764.7058823529412</v>
      </c>
      <c r="K29" s="132">
        <f t="shared" si="19"/>
        <v>2058.8235294117649</v>
      </c>
      <c r="L29" s="132">
        <f t="shared" si="20"/>
        <v>2941.1764705882356</v>
      </c>
      <c r="M29" s="132">
        <f t="shared" si="21"/>
        <v>3823.5294117647059</v>
      </c>
      <c r="N29" s="132">
        <f t="shared" si="22"/>
        <v>3529.4117647058824</v>
      </c>
      <c r="O29" s="132">
        <f t="shared" si="23"/>
        <v>2941.1764705882356</v>
      </c>
      <c r="P29" s="132">
        <f t="shared" si="24"/>
        <v>2647.0588235294117</v>
      </c>
      <c r="Q29" s="132">
        <f t="shared" si="25"/>
        <v>2352.9411764705883</v>
      </c>
      <c r="R29" s="132">
        <f t="shared" si="26"/>
        <v>2352.9411764705883</v>
      </c>
      <c r="S29" s="132">
        <f t="shared" si="27"/>
        <v>2058.8235294117649</v>
      </c>
    </row>
    <row r="30" spans="1:19" outlineLevel="1" x14ac:dyDescent="0.2">
      <c r="B30" s="11" t="str">
        <f>+'Feasibility study'!B35</f>
        <v xml:space="preserve">Long-term Liabilities	</v>
      </c>
      <c r="C30" s="12">
        <f>+'Feasibility study'!E35/3</f>
        <v>58823.529411764706</v>
      </c>
      <c r="D30" s="12">
        <v>58823.529411764706</v>
      </c>
      <c r="E30" s="10">
        <v>58823.529411764706</v>
      </c>
      <c r="G30" s="11" t="str">
        <f>+B30</f>
        <v xml:space="preserve">Long-term Liabilities	</v>
      </c>
      <c r="H30" s="132">
        <f t="shared" si="16"/>
        <v>2941.1764705882356</v>
      </c>
      <c r="I30" s="132">
        <f t="shared" si="17"/>
        <v>2941.1764705882356</v>
      </c>
      <c r="J30" s="132">
        <f t="shared" si="18"/>
        <v>3529.4117647058824</v>
      </c>
      <c r="K30" s="132">
        <f t="shared" si="19"/>
        <v>4117.6470588235297</v>
      </c>
      <c r="L30" s="132">
        <f t="shared" si="20"/>
        <v>5882.3529411764712</v>
      </c>
      <c r="M30" s="132">
        <f t="shared" si="21"/>
        <v>7647.0588235294117</v>
      </c>
      <c r="N30" s="132">
        <f t="shared" si="22"/>
        <v>7058.8235294117649</v>
      </c>
      <c r="O30" s="132">
        <f t="shared" si="23"/>
        <v>5882.3529411764712</v>
      </c>
      <c r="P30" s="132">
        <f t="shared" si="24"/>
        <v>5294.1176470588234</v>
      </c>
      <c r="Q30" s="132">
        <f t="shared" si="25"/>
        <v>4705.8823529411766</v>
      </c>
      <c r="R30" s="132">
        <f t="shared" si="26"/>
        <v>4705.8823529411766</v>
      </c>
      <c r="S30" s="132">
        <f t="shared" si="27"/>
        <v>4117.6470588235297</v>
      </c>
    </row>
    <row r="31" spans="1:19" outlineLevel="1" x14ac:dyDescent="0.2">
      <c r="B31" s="11" t="s">
        <v>134</v>
      </c>
      <c r="C31" s="12">
        <f>+C30*0.1</f>
        <v>5882.3529411764712</v>
      </c>
      <c r="D31" s="12">
        <f t="shared" ref="D31:E31" si="29">+D30*0.1</f>
        <v>5882.3529411764712</v>
      </c>
      <c r="E31" s="12">
        <f t="shared" si="29"/>
        <v>5882.3529411764712</v>
      </c>
      <c r="G31" s="11" t="s">
        <v>134</v>
      </c>
      <c r="H31" s="132">
        <f t="shared" si="16"/>
        <v>294.11764705882359</v>
      </c>
      <c r="I31" s="132">
        <f t="shared" si="17"/>
        <v>294.11764705882359</v>
      </c>
      <c r="J31" s="132">
        <f t="shared" si="18"/>
        <v>352.94117647058823</v>
      </c>
      <c r="K31" s="132">
        <f t="shared" si="19"/>
        <v>411.76470588235304</v>
      </c>
      <c r="L31" s="132">
        <f t="shared" si="20"/>
        <v>588.23529411764719</v>
      </c>
      <c r="M31" s="132">
        <f t="shared" si="21"/>
        <v>764.70588235294133</v>
      </c>
      <c r="N31" s="132">
        <f t="shared" si="22"/>
        <v>705.88235294117646</v>
      </c>
      <c r="O31" s="132">
        <f t="shared" si="23"/>
        <v>588.23529411764719</v>
      </c>
      <c r="P31" s="132">
        <f t="shared" si="24"/>
        <v>529.41176470588243</v>
      </c>
      <c r="Q31" s="132">
        <f t="shared" si="25"/>
        <v>470.58823529411768</v>
      </c>
      <c r="R31" s="132">
        <f t="shared" si="26"/>
        <v>470.58823529411768</v>
      </c>
      <c r="S31" s="132">
        <f t="shared" si="27"/>
        <v>411.76470588235304</v>
      </c>
    </row>
    <row r="32" spans="1:19" x14ac:dyDescent="0.2">
      <c r="B32" s="87" t="s">
        <v>135</v>
      </c>
      <c r="C32" s="97">
        <f>+C19+C18</f>
        <v>1518882.3529411766</v>
      </c>
      <c r="D32" s="97">
        <f t="shared" ref="D32:E32" si="30">+D19+D18</f>
        <v>1742217.6470588236</v>
      </c>
      <c r="E32" s="98">
        <f t="shared" si="30"/>
        <v>1318127.6470588238</v>
      </c>
      <c r="G32" s="87" t="s">
        <v>135</v>
      </c>
      <c r="H32" s="133">
        <f>SUM(H18:H31)</f>
        <v>75944.117647058825</v>
      </c>
      <c r="I32" s="133">
        <f t="shared" ref="I32:S32" si="31">SUM(I18:I31)</f>
        <v>75944.117647058825</v>
      </c>
      <c r="J32" s="133">
        <f t="shared" si="31"/>
        <v>91132.941176470587</v>
      </c>
      <c r="K32" s="133">
        <f t="shared" si="31"/>
        <v>106321.76470588236</v>
      </c>
      <c r="L32" s="133">
        <f t="shared" si="31"/>
        <v>151888.23529411765</v>
      </c>
      <c r="M32" s="133">
        <f t="shared" si="31"/>
        <v>197454.70588235292</v>
      </c>
      <c r="N32" s="133">
        <f t="shared" si="31"/>
        <v>182265.88235294117</v>
      </c>
      <c r="O32" s="133">
        <f t="shared" si="31"/>
        <v>151888.23529411765</v>
      </c>
      <c r="P32" s="133">
        <f t="shared" si="31"/>
        <v>136699.41176470587</v>
      </c>
      <c r="Q32" s="133">
        <f t="shared" si="31"/>
        <v>121510.5882352941</v>
      </c>
      <c r="R32" s="133">
        <f t="shared" si="31"/>
        <v>121510.5882352941</v>
      </c>
      <c r="S32" s="133">
        <f t="shared" si="31"/>
        <v>106321.76470588236</v>
      </c>
    </row>
    <row r="33" spans="2:19" x14ac:dyDescent="0.2">
      <c r="B33" s="104" t="s">
        <v>99</v>
      </c>
      <c r="C33" s="105">
        <f>+C16-C32</f>
        <v>831117.64705882338</v>
      </c>
      <c r="D33" s="105">
        <f t="shared" ref="D33:E33" si="32">+D16-D32</f>
        <v>842782.35294117639</v>
      </c>
      <c r="E33" s="106">
        <f t="shared" si="32"/>
        <v>1525372.3529411766</v>
      </c>
      <c r="G33" s="104" t="s">
        <v>99</v>
      </c>
      <c r="H33" s="134">
        <f>+H15-H32</f>
        <v>41555.882352941175</v>
      </c>
      <c r="I33" s="134">
        <f t="shared" ref="I33:S33" si="33">+I15-I32</f>
        <v>41555.882352941175</v>
      </c>
      <c r="J33" s="134">
        <f t="shared" si="33"/>
        <v>49867.058823529413</v>
      </c>
      <c r="K33" s="134">
        <f t="shared" si="33"/>
        <v>58178.235294117665</v>
      </c>
      <c r="L33" s="134">
        <f t="shared" si="33"/>
        <v>83111.76470588235</v>
      </c>
      <c r="M33" s="134">
        <f t="shared" si="33"/>
        <v>108045.29411764708</v>
      </c>
      <c r="N33" s="134">
        <f t="shared" si="33"/>
        <v>99734.117647058825</v>
      </c>
      <c r="O33" s="134">
        <f t="shared" si="33"/>
        <v>83111.76470588235</v>
      </c>
      <c r="P33" s="134">
        <f t="shared" si="33"/>
        <v>74800.588235294126</v>
      </c>
      <c r="Q33" s="134">
        <f t="shared" si="33"/>
        <v>66489.411764705903</v>
      </c>
      <c r="R33" s="134">
        <f t="shared" si="33"/>
        <v>66489.411764705903</v>
      </c>
      <c r="S33" s="134">
        <f t="shared" si="33"/>
        <v>58178.235294117665</v>
      </c>
    </row>
    <row r="34" spans="2:19" x14ac:dyDescent="0.2">
      <c r="B34" s="11" t="s">
        <v>102</v>
      </c>
      <c r="C34" s="16">
        <f>+'Feasibility study'!E28</f>
        <v>592261.76470588241</v>
      </c>
      <c r="D34" s="16"/>
      <c r="E34" s="96"/>
      <c r="G34" s="11" t="s">
        <v>102</v>
      </c>
      <c r="H34" s="131">
        <f>+C34</f>
        <v>592261.76470588241</v>
      </c>
      <c r="I34" s="131"/>
      <c r="J34" s="131"/>
      <c r="K34" s="131"/>
      <c r="L34" s="131"/>
      <c r="M34" s="131"/>
      <c r="N34" s="131"/>
      <c r="O34" s="131"/>
      <c r="P34" s="131"/>
      <c r="Q34" s="131"/>
      <c r="R34" s="131"/>
      <c r="S34" s="131"/>
    </row>
    <row r="35" spans="2:19" s="126" customFormat="1" ht="17" thickBot="1" x14ac:dyDescent="0.25">
      <c r="B35" s="123" t="s">
        <v>100</v>
      </c>
      <c r="C35" s="124">
        <f>+C34+C33</f>
        <v>1423379.4117647058</v>
      </c>
      <c r="D35" s="124">
        <f>+C35+D33</f>
        <v>2266161.7647058824</v>
      </c>
      <c r="E35" s="125">
        <f>+D35+E33</f>
        <v>3791534.1176470593</v>
      </c>
      <c r="G35" s="123" t="s">
        <v>100</v>
      </c>
      <c r="H35" s="135">
        <f>+H34+H33</f>
        <v>633817.64705882361</v>
      </c>
      <c r="I35" s="135">
        <f>+H35+I33</f>
        <v>675373.52941176482</v>
      </c>
      <c r="J35" s="135">
        <f t="shared" ref="J35:S35" si="34">+I35+J33</f>
        <v>725240.58823529421</v>
      </c>
      <c r="K35" s="135">
        <f t="shared" si="34"/>
        <v>783418.82352941192</v>
      </c>
      <c r="L35" s="135">
        <f t="shared" si="34"/>
        <v>866530.58823529421</v>
      </c>
      <c r="M35" s="135">
        <f t="shared" si="34"/>
        <v>974575.88235294132</v>
      </c>
      <c r="N35" s="135">
        <f t="shared" si="34"/>
        <v>1074310.0000000002</v>
      </c>
      <c r="O35" s="135">
        <f t="shared" si="34"/>
        <v>1157421.7647058826</v>
      </c>
      <c r="P35" s="135">
        <f t="shared" si="34"/>
        <v>1232222.3529411769</v>
      </c>
      <c r="Q35" s="135">
        <f t="shared" si="34"/>
        <v>1298711.7647058829</v>
      </c>
      <c r="R35" s="135">
        <f t="shared" si="34"/>
        <v>1365201.1764705889</v>
      </c>
      <c r="S35" s="135">
        <f t="shared" si="34"/>
        <v>1423379.4117647065</v>
      </c>
    </row>
    <row r="38" spans="2:19" x14ac:dyDescent="0.2">
      <c r="D38">
        <f>+C32/C16</f>
        <v>0.64633291614518151</v>
      </c>
    </row>
  </sheetData>
  <phoneticPr fontId="3" type="noConversion"/>
  <dataValidations disablePrompts="1" count="1">
    <dataValidation type="list" allowBlank="1" showInputMessage="1" showErrorMessage="1" sqref="A1:A1048576" xr:uid="{BA71F8B2-D0E1-B14A-8C10-6AFF16B60C5E}">
      <formula1>"Fixed,varriable"</formula1>
    </dataValidation>
  </dataValidation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D94844-1F1B-2646-92EB-290B57D19087}">
  <dimension ref="B3:J33"/>
  <sheetViews>
    <sheetView topLeftCell="A12" workbookViewId="0">
      <selection activeCell="C25" sqref="C25"/>
    </sheetView>
  </sheetViews>
  <sheetFormatPr baseColWidth="10" defaultRowHeight="16" x14ac:dyDescent="0.2"/>
  <cols>
    <col min="2" max="2" width="34.5" style="1" bestFit="1" customWidth="1"/>
    <col min="3" max="3" width="13" style="1" bestFit="1" customWidth="1"/>
    <col min="4" max="4" width="14.33203125" customWidth="1"/>
    <col min="5" max="5" width="13" bestFit="1" customWidth="1"/>
    <col min="6" max="6" width="15.5" customWidth="1"/>
    <col min="8" max="10" width="12.6640625" customWidth="1"/>
  </cols>
  <sheetData>
    <row r="3" spans="2:10" x14ac:dyDescent="0.2">
      <c r="B3" s="120" t="s">
        <v>121</v>
      </c>
      <c r="D3" s="85" t="s">
        <v>136</v>
      </c>
      <c r="H3" s="63"/>
      <c r="I3" s="63"/>
      <c r="J3" s="64"/>
    </row>
    <row r="4" spans="2:10" x14ac:dyDescent="0.2">
      <c r="B4" s="1" t="s">
        <v>122</v>
      </c>
      <c r="C4" s="1">
        <v>940000</v>
      </c>
      <c r="D4" t="s">
        <v>86</v>
      </c>
      <c r="H4" s="39"/>
      <c r="I4" s="39"/>
      <c r="J4" s="39"/>
    </row>
    <row r="5" spans="2:10" x14ac:dyDescent="0.2">
      <c r="B5" s="1" t="s">
        <v>123</v>
      </c>
      <c r="C5" s="1">
        <v>396000</v>
      </c>
      <c r="D5" t="s">
        <v>137</v>
      </c>
      <c r="H5" s="39"/>
      <c r="I5" s="39"/>
      <c r="J5" s="39"/>
    </row>
    <row r="6" spans="2:10" x14ac:dyDescent="0.2">
      <c r="B6" s="1" t="s">
        <v>3</v>
      </c>
      <c r="C6" s="1">
        <v>12000</v>
      </c>
      <c r="D6" t="s">
        <v>137</v>
      </c>
    </row>
    <row r="7" spans="2:10" x14ac:dyDescent="0.2">
      <c r="B7" s="1" t="s">
        <v>4</v>
      </c>
      <c r="C7" s="1">
        <v>20000</v>
      </c>
      <c r="D7" t="s">
        <v>137</v>
      </c>
    </row>
    <row r="8" spans="2:10" x14ac:dyDescent="0.2">
      <c r="B8" s="1" t="s">
        <v>5</v>
      </c>
      <c r="C8" s="1">
        <v>20000</v>
      </c>
      <c r="D8" t="s">
        <v>137</v>
      </c>
    </row>
    <row r="9" spans="2:10" x14ac:dyDescent="0.2">
      <c r="B9" s="1" t="s">
        <v>6</v>
      </c>
      <c r="C9" s="1">
        <v>50000</v>
      </c>
      <c r="D9" t="s">
        <v>137</v>
      </c>
    </row>
    <row r="10" spans="2:10" x14ac:dyDescent="0.2">
      <c r="B10" s="1" t="s">
        <v>117</v>
      </c>
      <c r="C10" s="1">
        <v>100000</v>
      </c>
      <c r="D10" t="s">
        <v>137</v>
      </c>
    </row>
    <row r="11" spans="2:10" x14ac:dyDescent="0.2">
      <c r="B11" s="1" t="s">
        <v>129</v>
      </c>
      <c r="C11" s="1">
        <v>174029.4117647059</v>
      </c>
      <c r="D11" t="s">
        <v>137</v>
      </c>
    </row>
    <row r="12" spans="2:10" x14ac:dyDescent="0.2">
      <c r="B12" s="1" t="s">
        <v>130</v>
      </c>
      <c r="C12" s="1">
        <v>30000</v>
      </c>
      <c r="D12" t="s">
        <v>137</v>
      </c>
    </row>
    <row r="15" spans="2:10" x14ac:dyDescent="0.2">
      <c r="B15" s="1" t="s">
        <v>138</v>
      </c>
      <c r="C15" s="1">
        <f>+SUMIF($D$4:$D$12,"Fixed Cost",$C$4:$C$12)/12</f>
        <v>66835.784313725497</v>
      </c>
      <c r="D15" s="39">
        <f>+C15/C17</f>
        <v>0.46039946647757013</v>
      </c>
    </row>
    <row r="16" spans="2:10" x14ac:dyDescent="0.2">
      <c r="B16" s="1" t="s">
        <v>139</v>
      </c>
      <c r="C16" s="1">
        <f>+SUMIF($D$4:$D$12,"Varriable cost",$C$4:$C$12)/12</f>
        <v>78333.333333333328</v>
      </c>
    </row>
    <row r="17" spans="2:6" x14ac:dyDescent="0.2">
      <c r="B17" s="120" t="s">
        <v>126</v>
      </c>
      <c r="C17" s="120">
        <f>+C16+C15</f>
        <v>145169.11764705883</v>
      </c>
    </row>
    <row r="18" spans="2:6" x14ac:dyDescent="0.2">
      <c r="B18" s="120" t="s">
        <v>140</v>
      </c>
      <c r="C18" s="120">
        <f>+'P&amp;L'!C7/12</f>
        <v>195833.33333333334</v>
      </c>
    </row>
    <row r="20" spans="2:6" x14ac:dyDescent="0.2">
      <c r="B20" s="121" t="s">
        <v>143</v>
      </c>
      <c r="C20" s="121">
        <v>50</v>
      </c>
    </row>
    <row r="21" spans="2:6" x14ac:dyDescent="0.2">
      <c r="B21" s="121" t="s">
        <v>149</v>
      </c>
      <c r="C21" s="121">
        <f>+C20*(1-'P&amp;L'!C27)</f>
        <v>43.785356695869837</v>
      </c>
      <c r="D21" s="39"/>
    </row>
    <row r="22" spans="2:6" x14ac:dyDescent="0.2">
      <c r="B22" s="121" t="s">
        <v>148</v>
      </c>
      <c r="C22" s="121">
        <f>+C21*0.55</f>
        <v>24.081946182728412</v>
      </c>
      <c r="D22" s="39"/>
    </row>
    <row r="23" spans="2:6" x14ac:dyDescent="0.2">
      <c r="B23" s="1" t="s">
        <v>141</v>
      </c>
      <c r="C23" s="108">
        <f>1-(C16/C18)</f>
        <v>0.60000000000000009</v>
      </c>
      <c r="D23" s="122"/>
    </row>
    <row r="24" spans="2:6" x14ac:dyDescent="0.2">
      <c r="B24" s="1" t="s">
        <v>142</v>
      </c>
      <c r="C24" s="1">
        <f>+C15/C23</f>
        <v>111392.97385620915</v>
      </c>
    </row>
    <row r="25" spans="2:6" x14ac:dyDescent="0.2">
      <c r="B25" s="120" t="s">
        <v>144</v>
      </c>
      <c r="C25" s="120">
        <f>+C24/C20</f>
        <v>2227.8594771241828</v>
      </c>
    </row>
    <row r="27" spans="2:6" ht="17" thickBot="1" x14ac:dyDescent="0.25"/>
    <row r="28" spans="2:6" ht="51" x14ac:dyDescent="0.2">
      <c r="B28" s="156" t="s">
        <v>146</v>
      </c>
      <c r="C28" s="157" t="s">
        <v>145</v>
      </c>
      <c r="D28" s="158" t="s">
        <v>126</v>
      </c>
      <c r="E28" s="158" t="s">
        <v>85</v>
      </c>
      <c r="F28" s="159" t="s">
        <v>147</v>
      </c>
    </row>
    <row r="29" spans="2:6" x14ac:dyDescent="0.2">
      <c r="B29" s="136">
        <v>1000</v>
      </c>
      <c r="C29" s="137">
        <f>B29*$C$20</f>
        <v>50000</v>
      </c>
      <c r="D29" s="138">
        <f>+E29+F29</f>
        <v>90917.730496453907</v>
      </c>
      <c r="E29" s="138">
        <f>+C15</f>
        <v>66835.784313725497</v>
      </c>
      <c r="F29" s="139">
        <f>+B29*$C$22</f>
        <v>24081.946182728414</v>
      </c>
    </row>
    <row r="30" spans="2:6" x14ac:dyDescent="0.2">
      <c r="B30" s="136">
        <v>2000</v>
      </c>
      <c r="C30" s="137">
        <f>B30*$C$20</f>
        <v>100000</v>
      </c>
      <c r="D30" s="138">
        <f t="shared" ref="D30:D33" si="0">+E30+F30</f>
        <v>114999.67667918233</v>
      </c>
      <c r="E30" s="138">
        <v>66835.784313725497</v>
      </c>
      <c r="F30" s="139">
        <f t="shared" ref="F30:F33" si="1">+B30*$C$22</f>
        <v>48163.892365456828</v>
      </c>
    </row>
    <row r="31" spans="2:6" x14ac:dyDescent="0.2">
      <c r="B31" s="136">
        <v>3000</v>
      </c>
      <c r="C31" s="137">
        <f>B31*$C$20</f>
        <v>150000</v>
      </c>
      <c r="D31" s="138">
        <f t="shared" si="0"/>
        <v>139081.62286191073</v>
      </c>
      <c r="E31" s="138">
        <v>66835.784313725497</v>
      </c>
      <c r="F31" s="139">
        <f t="shared" si="1"/>
        <v>72245.838548185231</v>
      </c>
    </row>
    <row r="32" spans="2:6" x14ac:dyDescent="0.2">
      <c r="B32" s="136">
        <v>4000</v>
      </c>
      <c r="C32" s="137">
        <f>B32*$C$20</f>
        <v>200000</v>
      </c>
      <c r="D32" s="138">
        <f t="shared" si="0"/>
        <v>163163.56904463915</v>
      </c>
      <c r="E32" s="138">
        <v>66835.784313725497</v>
      </c>
      <c r="F32" s="139">
        <f t="shared" si="1"/>
        <v>96327.784730913656</v>
      </c>
    </row>
    <row r="33" spans="2:6" ht="17" thickBot="1" x14ac:dyDescent="0.25">
      <c r="B33" s="140">
        <v>5000</v>
      </c>
      <c r="C33" s="141">
        <f>B33*$C$20</f>
        <v>250000</v>
      </c>
      <c r="D33" s="142">
        <f t="shared" si="0"/>
        <v>187245.51522736758</v>
      </c>
      <c r="E33" s="142">
        <v>66835.784313725497</v>
      </c>
      <c r="F33" s="143">
        <f t="shared" si="1"/>
        <v>120409.73091364207</v>
      </c>
    </row>
  </sheetData>
  <autoFilter ref="B3:D12" xr:uid="{4BFBF8FB-86E1-9F45-891B-A4D5BF42243C}"/>
  <dataValidations count="1">
    <dataValidation type="list" allowBlank="1" showInputMessage="1" showErrorMessage="1" sqref="D4:D12" xr:uid="{33038EB1-1D6C-954B-93C4-BD819301C989}">
      <formula1>"Fixed Cost,Varriable cost"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A9997C-B1F5-AB4F-A51F-87BF50F282D0}">
  <dimension ref="B3:J33"/>
  <sheetViews>
    <sheetView topLeftCell="A21" zoomScale="117" zoomScaleNormal="117" workbookViewId="0">
      <selection activeCell="C26" sqref="C26"/>
    </sheetView>
  </sheetViews>
  <sheetFormatPr baseColWidth="10" defaultRowHeight="16" x14ac:dyDescent="0.2"/>
  <cols>
    <col min="2" max="2" width="18.33203125" bestFit="1" customWidth="1"/>
    <col min="3" max="5" width="12.6640625" customWidth="1"/>
    <col min="8" max="8" width="11.5" bestFit="1" customWidth="1"/>
  </cols>
  <sheetData>
    <row r="3" spans="2:10" ht="17" thickBot="1" x14ac:dyDescent="0.25"/>
    <row r="4" spans="2:10" x14ac:dyDescent="0.2">
      <c r="B4" s="3" t="s">
        <v>118</v>
      </c>
      <c r="C4" s="4"/>
      <c r="D4" s="4"/>
      <c r="E4" s="86"/>
    </row>
    <row r="5" spans="2:10" x14ac:dyDescent="0.2">
      <c r="B5" s="11"/>
      <c r="C5" s="63">
        <v>2020</v>
      </c>
      <c r="D5" s="63">
        <v>2021</v>
      </c>
      <c r="E5" s="64">
        <v>2022</v>
      </c>
      <c r="H5" s="63">
        <v>2020</v>
      </c>
      <c r="I5" s="63">
        <v>2021</v>
      </c>
      <c r="J5" s="64">
        <v>2022</v>
      </c>
    </row>
    <row r="6" spans="2:10" x14ac:dyDescent="0.2">
      <c r="B6" s="109" t="s">
        <v>120</v>
      </c>
      <c r="C6" s="48"/>
      <c r="D6" s="48"/>
      <c r="E6" s="110"/>
      <c r="G6" s="107" t="s">
        <v>127</v>
      </c>
      <c r="H6" s="39">
        <f>+C26</f>
        <v>292088.23529411759</v>
      </c>
      <c r="I6" s="39">
        <f t="shared" ref="I6:J6" si="0">+D26</f>
        <v>500252.94117647037</v>
      </c>
      <c r="J6" s="39">
        <f t="shared" si="0"/>
        <v>595792.94117647037</v>
      </c>
    </row>
    <row r="7" spans="2:10" x14ac:dyDescent="0.2">
      <c r="B7" s="111" t="s">
        <v>119</v>
      </c>
      <c r="C7" s="12">
        <f>'Sales forecasting '!C8</f>
        <v>2350000</v>
      </c>
      <c r="D7" s="12">
        <f>'Sales forecasting '!D8</f>
        <v>2585000</v>
      </c>
      <c r="E7" s="10">
        <f>'Sales forecasting '!E8</f>
        <v>2843500.0000000005</v>
      </c>
      <c r="G7" s="107" t="s">
        <v>128</v>
      </c>
      <c r="H7" s="119">
        <f>+C27</f>
        <v>0.12429286608260323</v>
      </c>
      <c r="I7" s="119">
        <f t="shared" ref="I7:J7" si="1">+D27</f>
        <v>0.19352144726362491</v>
      </c>
      <c r="J7" s="119">
        <f t="shared" si="1"/>
        <v>0.20952802573464754</v>
      </c>
    </row>
    <row r="8" spans="2:10" x14ac:dyDescent="0.2">
      <c r="B8" s="109" t="s">
        <v>121</v>
      </c>
      <c r="C8" s="12"/>
      <c r="D8" s="12"/>
      <c r="E8" s="10"/>
    </row>
    <row r="9" spans="2:10" x14ac:dyDescent="0.2">
      <c r="B9" s="11" t="s">
        <v>122</v>
      </c>
      <c r="C9" s="12">
        <f>+'Sales forecasting '!C13</f>
        <v>940000</v>
      </c>
      <c r="D9" s="12">
        <f>+'Sales forecasting '!D13</f>
        <v>1034000.0000000001</v>
      </c>
      <c r="E9" s="10">
        <f>+'Sales forecasting '!E13</f>
        <v>1137400.0000000002</v>
      </c>
    </row>
    <row r="10" spans="2:10" x14ac:dyDescent="0.2">
      <c r="B10" s="11" t="s">
        <v>123</v>
      </c>
      <c r="C10" s="12">
        <f>+'personel plan'!C9</f>
        <v>396000</v>
      </c>
      <c r="D10" s="12">
        <f>+'personel plan'!D9</f>
        <v>435600.00000000006</v>
      </c>
      <c r="E10" s="10">
        <f>+'personel plan'!E9</f>
        <v>479160.00000000012</v>
      </c>
    </row>
    <row r="11" spans="2:10" x14ac:dyDescent="0.2">
      <c r="B11" s="11" t="s">
        <v>2</v>
      </c>
      <c r="C11" s="12">
        <f>+'Feasibility study'!E6</f>
        <v>11470.588235294117</v>
      </c>
      <c r="D11" s="12">
        <v>0</v>
      </c>
      <c r="E11" s="10"/>
    </row>
    <row r="12" spans="2:10" x14ac:dyDescent="0.2">
      <c r="B12" s="11" t="s">
        <v>3</v>
      </c>
      <c r="C12" s="12">
        <f>+'Financial plan '!C21</f>
        <v>12000</v>
      </c>
      <c r="D12" s="12">
        <f>+'Financial plan '!D21</f>
        <v>12000</v>
      </c>
      <c r="E12" s="10">
        <f>+'Financial plan '!E21</f>
        <v>12000</v>
      </c>
    </row>
    <row r="13" spans="2:10" x14ac:dyDescent="0.2">
      <c r="B13" s="11" t="s">
        <v>4</v>
      </c>
      <c r="C13" s="12">
        <f>+'Financial plan '!C22</f>
        <v>20000</v>
      </c>
      <c r="D13" s="12">
        <f>+'Financial plan '!D22</f>
        <v>20000</v>
      </c>
      <c r="E13" s="10">
        <f>+'Financial plan '!E22</f>
        <v>20000</v>
      </c>
    </row>
    <row r="14" spans="2:10" x14ac:dyDescent="0.2">
      <c r="B14" s="11" t="s">
        <v>5</v>
      </c>
      <c r="C14" s="12">
        <f>+'Financial plan '!C23</f>
        <v>20000</v>
      </c>
      <c r="D14" s="12">
        <f>+'Financial plan '!D23</f>
        <v>20000</v>
      </c>
      <c r="E14" s="10">
        <f>+'Financial plan '!E23</f>
        <v>20000</v>
      </c>
    </row>
    <row r="15" spans="2:10" x14ac:dyDescent="0.2">
      <c r="B15" s="11" t="s">
        <v>6</v>
      </c>
      <c r="C15" s="12">
        <f>+'Financial plan '!C24</f>
        <v>50000</v>
      </c>
      <c r="D15" s="12">
        <f>+'Financial plan '!D24</f>
        <v>50000</v>
      </c>
      <c r="E15" s="10">
        <f>+'Financial plan '!E24</f>
        <v>50000</v>
      </c>
    </row>
    <row r="16" spans="2:10" x14ac:dyDescent="0.2">
      <c r="B16" s="11" t="s">
        <v>117</v>
      </c>
      <c r="C16" s="12">
        <f>+'Financial plan '!C25</f>
        <v>100000</v>
      </c>
      <c r="D16" s="12">
        <f>+'Financial plan '!D25</f>
        <v>100000</v>
      </c>
      <c r="E16" s="10">
        <f>+'Financial plan '!E25</f>
        <v>100000</v>
      </c>
    </row>
    <row r="17" spans="2:5" x14ac:dyDescent="0.2">
      <c r="B17" s="11" t="s">
        <v>7</v>
      </c>
      <c r="C17" s="12">
        <f>+'Financial plan '!C26</f>
        <v>88235.294117647063</v>
      </c>
      <c r="D17" s="12">
        <f>+'Financial plan '!D26</f>
        <v>0</v>
      </c>
      <c r="E17" s="10">
        <f>+'Financial plan '!E26</f>
        <v>0</v>
      </c>
    </row>
    <row r="18" spans="2:5" x14ac:dyDescent="0.2">
      <c r="B18" s="11" t="s">
        <v>8</v>
      </c>
      <c r="C18" s="12">
        <f>+'Financial plan '!C27</f>
        <v>22058.823529411766</v>
      </c>
      <c r="D18" s="12">
        <f>+'Financial plan '!D27</f>
        <v>0</v>
      </c>
      <c r="E18" s="10">
        <f>+'Financial plan '!E27</f>
        <v>0</v>
      </c>
    </row>
    <row r="19" spans="2:5" x14ac:dyDescent="0.2">
      <c r="B19" s="11" t="s">
        <v>29</v>
      </c>
      <c r="C19" s="12">
        <f>+'Feasibility study'!E34/3</f>
        <v>29411.764705882353</v>
      </c>
      <c r="D19" s="12">
        <v>29411.764705882353</v>
      </c>
      <c r="E19" s="10">
        <v>29411.764705882353</v>
      </c>
    </row>
    <row r="20" spans="2:5" x14ac:dyDescent="0.2">
      <c r="B20" s="11" t="s">
        <v>30</v>
      </c>
      <c r="C20" s="12">
        <f>'Feasibility study'!E35/3</f>
        <v>58823.529411764706</v>
      </c>
      <c r="D20" s="12">
        <v>58823.529411764706</v>
      </c>
      <c r="E20" s="10">
        <v>58823.529411764706</v>
      </c>
    </row>
    <row r="21" spans="2:5" x14ac:dyDescent="0.2">
      <c r="B21" s="11" t="s">
        <v>124</v>
      </c>
      <c r="C21" s="12">
        <f>+C20*0.1</f>
        <v>5882.3529411764712</v>
      </c>
      <c r="D21" s="12">
        <f t="shared" ref="D21:E21" si="2">+D20*0.1</f>
        <v>5882.3529411764712</v>
      </c>
      <c r="E21" s="10">
        <f t="shared" si="2"/>
        <v>5882.3529411764712</v>
      </c>
    </row>
    <row r="22" spans="2:5" x14ac:dyDescent="0.2">
      <c r="B22" s="11" t="s">
        <v>129</v>
      </c>
      <c r="C22" s="12">
        <f>+'Feasibility study'!E19/3</f>
        <v>174029.4117647059</v>
      </c>
      <c r="D22" s="12">
        <v>174029.4117647059</v>
      </c>
      <c r="E22" s="10">
        <v>174029.4117647059</v>
      </c>
    </row>
    <row r="23" spans="2:5" x14ac:dyDescent="0.2">
      <c r="B23" s="11" t="s">
        <v>130</v>
      </c>
      <c r="C23" s="12">
        <v>30000</v>
      </c>
      <c r="D23" s="12">
        <v>35000</v>
      </c>
      <c r="E23" s="10">
        <v>40000</v>
      </c>
    </row>
    <row r="24" spans="2:5" x14ac:dyDescent="0.2">
      <c r="B24" s="11" t="s">
        <v>125</v>
      </c>
      <c r="C24" s="12">
        <v>100000</v>
      </c>
      <c r="D24" s="12">
        <f>+C24*1.1</f>
        <v>110000.00000000001</v>
      </c>
      <c r="E24" s="10">
        <f>+D24*1.1</f>
        <v>121000.00000000003</v>
      </c>
    </row>
    <row r="25" spans="2:5" x14ac:dyDescent="0.2">
      <c r="B25" s="111" t="s">
        <v>126</v>
      </c>
      <c r="C25" s="112">
        <f>SUM(C9:C24)</f>
        <v>2057911.7647058824</v>
      </c>
      <c r="D25" s="112">
        <f t="shared" ref="D25:E25" si="3">SUM(D9:D24)</f>
        <v>2084747.0588235296</v>
      </c>
      <c r="E25" s="113">
        <f t="shared" si="3"/>
        <v>2247707.0588235301</v>
      </c>
    </row>
    <row r="26" spans="2:5" x14ac:dyDescent="0.2">
      <c r="B26" s="102" t="s">
        <v>127</v>
      </c>
      <c r="C26" s="114">
        <f>+C7-C25</f>
        <v>292088.23529411759</v>
      </c>
      <c r="D26" s="114">
        <f t="shared" ref="D26:E26" si="4">+D7-D25</f>
        <v>500252.94117647037</v>
      </c>
      <c r="E26" s="115">
        <f t="shared" si="4"/>
        <v>595792.94117647037</v>
      </c>
    </row>
    <row r="27" spans="2:5" ht="17" thickBot="1" x14ac:dyDescent="0.25">
      <c r="B27" s="103" t="s">
        <v>128</v>
      </c>
      <c r="C27" s="116">
        <f>+C26/C7</f>
        <v>0.12429286608260323</v>
      </c>
      <c r="D27" s="116">
        <f t="shared" ref="D27:E27" si="5">+D26/D7</f>
        <v>0.19352144726362491</v>
      </c>
      <c r="E27" s="117">
        <f t="shared" si="5"/>
        <v>0.20952802573464754</v>
      </c>
    </row>
    <row r="29" spans="2:5" ht="17" thickBot="1" x14ac:dyDescent="0.25"/>
    <row r="30" spans="2:5" x14ac:dyDescent="0.2">
      <c r="B30" s="34"/>
      <c r="C30" s="57">
        <v>2020</v>
      </c>
      <c r="D30" s="57">
        <v>2021</v>
      </c>
      <c r="E30" s="58">
        <v>2022</v>
      </c>
    </row>
    <row r="31" spans="2:5" x14ac:dyDescent="0.2">
      <c r="B31" s="153" t="s">
        <v>170</v>
      </c>
      <c r="C31" s="22">
        <f>+C7</f>
        <v>2350000</v>
      </c>
      <c r="D31" s="22">
        <f t="shared" ref="D31:E31" si="6">+D7</f>
        <v>2585000</v>
      </c>
      <c r="E31" s="25">
        <f t="shared" si="6"/>
        <v>2843500.0000000005</v>
      </c>
    </row>
    <row r="32" spans="2:5" x14ac:dyDescent="0.2">
      <c r="B32" s="153" t="s">
        <v>171</v>
      </c>
      <c r="C32" s="22">
        <f>+C7-C9</f>
        <v>1410000</v>
      </c>
      <c r="D32" s="22">
        <f t="shared" ref="D32:E32" si="7">+D7-D9</f>
        <v>1551000</v>
      </c>
      <c r="E32" s="25">
        <f t="shared" si="7"/>
        <v>1706100.0000000002</v>
      </c>
    </row>
    <row r="33" spans="2:5" ht="17" thickBot="1" x14ac:dyDescent="0.25">
      <c r="B33" s="154" t="s">
        <v>127</v>
      </c>
      <c r="C33" s="37">
        <f>+C26</f>
        <v>292088.23529411759</v>
      </c>
      <c r="D33" s="37">
        <f t="shared" ref="D33:E33" si="8">+D26</f>
        <v>500252.94117647037</v>
      </c>
      <c r="E33" s="155">
        <f t="shared" si="8"/>
        <v>595792.94117647037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DB2912-82CA-BC4B-A75D-F30F99E73E00}">
  <dimension ref="B3:I29"/>
  <sheetViews>
    <sheetView tabSelected="1" topLeftCell="A16" workbookViewId="0">
      <selection activeCell="H23" sqref="H23"/>
    </sheetView>
  </sheetViews>
  <sheetFormatPr baseColWidth="10" defaultRowHeight="16" x14ac:dyDescent="0.2"/>
  <cols>
    <col min="2" max="2" width="38.33203125" bestFit="1" customWidth="1"/>
    <col min="3" max="5" width="13" bestFit="1" customWidth="1"/>
    <col min="7" max="9" width="13.5" customWidth="1"/>
  </cols>
  <sheetData>
    <row r="3" spans="2:5" ht="17" thickBot="1" x14ac:dyDescent="0.25"/>
    <row r="4" spans="2:5" x14ac:dyDescent="0.2">
      <c r="B4" s="144" t="s">
        <v>151</v>
      </c>
      <c r="C4" s="4"/>
      <c r="D4" s="4"/>
      <c r="E4" s="86"/>
    </row>
    <row r="5" spans="2:5" x14ac:dyDescent="0.2">
      <c r="B5" s="11"/>
      <c r="C5" s="63">
        <v>2020</v>
      </c>
      <c r="D5" s="63">
        <v>2021</v>
      </c>
      <c r="E5" s="64">
        <v>2022</v>
      </c>
    </row>
    <row r="6" spans="2:5" x14ac:dyDescent="0.2">
      <c r="B6" s="11" t="s">
        <v>44</v>
      </c>
      <c r="C6" s="8"/>
      <c r="D6" s="8"/>
      <c r="E6" s="59"/>
    </row>
    <row r="7" spans="2:5" x14ac:dyDescent="0.2">
      <c r="B7" s="11" t="s">
        <v>152</v>
      </c>
      <c r="C7" s="12">
        <f>+'Financial plan '!C35</f>
        <v>1423379.4117647058</v>
      </c>
      <c r="D7" s="12">
        <f>+'Financial plan '!D35</f>
        <v>2266161.7647058824</v>
      </c>
      <c r="E7" s="10">
        <f>+'Financial plan '!E35</f>
        <v>3791534.1176470593</v>
      </c>
    </row>
    <row r="8" spans="2:5" x14ac:dyDescent="0.2">
      <c r="B8" s="11" t="s">
        <v>153</v>
      </c>
      <c r="C8" s="12">
        <f>+C7*0.1</f>
        <v>142337.94117647057</v>
      </c>
      <c r="D8" s="12">
        <f t="shared" ref="D8:E8" si="0">+D7*0.1</f>
        <v>226616.17647058825</v>
      </c>
      <c r="E8" s="10">
        <f t="shared" si="0"/>
        <v>379153.41176470596</v>
      </c>
    </row>
    <row r="9" spans="2:5" x14ac:dyDescent="0.2">
      <c r="B9" s="87" t="s">
        <v>157</v>
      </c>
      <c r="C9" s="145">
        <f>+C8+C7</f>
        <v>1565717.3529411764</v>
      </c>
      <c r="D9" s="145">
        <f t="shared" ref="D9:E9" si="1">+D8+D7</f>
        <v>2492777.9411764708</v>
      </c>
      <c r="E9" s="146">
        <f t="shared" si="1"/>
        <v>4170687.5294117653</v>
      </c>
    </row>
    <row r="10" spans="2:5" x14ac:dyDescent="0.2">
      <c r="B10" s="11" t="s">
        <v>154</v>
      </c>
      <c r="C10" s="8"/>
      <c r="D10" s="8"/>
      <c r="E10" s="59"/>
    </row>
    <row r="11" spans="2:5" x14ac:dyDescent="0.2">
      <c r="B11" s="11" t="s">
        <v>155</v>
      </c>
      <c r="C11" s="12">
        <f>+'Feasibility study'!E19</f>
        <v>522088.23529411771</v>
      </c>
      <c r="D11" s="12">
        <f>+C11*1.1</f>
        <v>574297.05882352951</v>
      </c>
      <c r="E11" s="10">
        <f>+D11*1.1</f>
        <v>631726.76470588252</v>
      </c>
    </row>
    <row r="12" spans="2:5" x14ac:dyDescent="0.2">
      <c r="B12" s="11" t="s">
        <v>129</v>
      </c>
      <c r="C12" s="12">
        <f>-C11/3</f>
        <v>-174029.4117647059</v>
      </c>
      <c r="D12" s="12">
        <f>+C12*2</f>
        <v>-348058.82352941181</v>
      </c>
      <c r="E12" s="10">
        <f>+C12*3</f>
        <v>-522088.23529411771</v>
      </c>
    </row>
    <row r="13" spans="2:5" x14ac:dyDescent="0.2">
      <c r="B13" s="87" t="s">
        <v>156</v>
      </c>
      <c r="C13" s="145">
        <f>+C12+C11</f>
        <v>348058.82352941181</v>
      </c>
      <c r="D13" s="145">
        <f t="shared" ref="D13:E13" si="2">+D12+D11</f>
        <v>226238.23529411771</v>
      </c>
      <c r="E13" s="146">
        <f t="shared" si="2"/>
        <v>109638.52941176482</v>
      </c>
    </row>
    <row r="14" spans="2:5" x14ac:dyDescent="0.2">
      <c r="B14" s="147" t="s">
        <v>158</v>
      </c>
      <c r="C14" s="148">
        <f>+C13+C9</f>
        <v>1913776.1764705882</v>
      </c>
      <c r="D14" s="148">
        <f t="shared" ref="D14:E14" si="3">+D13+D9</f>
        <v>2719016.1764705884</v>
      </c>
      <c r="E14" s="149">
        <f t="shared" si="3"/>
        <v>4280326.0588235296</v>
      </c>
    </row>
    <row r="15" spans="2:5" x14ac:dyDescent="0.2">
      <c r="B15" s="11" t="s">
        <v>159</v>
      </c>
      <c r="C15" s="12"/>
      <c r="D15" s="12"/>
      <c r="E15" s="10"/>
    </row>
    <row r="16" spans="2:5" x14ac:dyDescent="0.2">
      <c r="B16" s="11" t="s">
        <v>160</v>
      </c>
      <c r="C16" s="12">
        <v>292276.17647058819</v>
      </c>
      <c r="D16" s="12">
        <v>889351.47058823565</v>
      </c>
      <c r="E16" s="10">
        <v>2355121.3529411769</v>
      </c>
    </row>
    <row r="17" spans="2:9" x14ac:dyDescent="0.2">
      <c r="B17" s="11" t="s">
        <v>161</v>
      </c>
      <c r="C17" s="12">
        <f>+'Feasibility study'!E34/3</f>
        <v>29411.764705882353</v>
      </c>
      <c r="D17" s="12">
        <v>29411.764705882353</v>
      </c>
      <c r="E17" s="10">
        <v>29411.764705882353</v>
      </c>
    </row>
    <row r="18" spans="2:9" x14ac:dyDescent="0.2">
      <c r="B18" s="11" t="s">
        <v>162</v>
      </c>
      <c r="C18" s="12">
        <f>+('Feasibility study'!E35/3)*1.1</f>
        <v>64705.882352941182</v>
      </c>
      <c r="D18" s="12">
        <v>64705.882352941182</v>
      </c>
      <c r="E18" s="10">
        <v>64705.882352941182</v>
      </c>
      <c r="G18" s="39"/>
    </row>
    <row r="19" spans="2:9" x14ac:dyDescent="0.2">
      <c r="B19" s="87" t="s">
        <v>163</v>
      </c>
      <c r="C19" s="145">
        <f>+C18+C17+C16</f>
        <v>386393.82352941175</v>
      </c>
      <c r="D19" s="145">
        <f t="shared" ref="D19:E19" si="4">+D18+D17+D16</f>
        <v>983469.11764705915</v>
      </c>
      <c r="E19" s="146">
        <f t="shared" si="4"/>
        <v>2449239.0000000005</v>
      </c>
    </row>
    <row r="20" spans="2:9" x14ac:dyDescent="0.2">
      <c r="B20" s="11" t="s">
        <v>164</v>
      </c>
      <c r="C20" s="8"/>
      <c r="D20" s="8"/>
      <c r="E20" s="59"/>
    </row>
    <row r="21" spans="2:9" x14ac:dyDescent="0.2">
      <c r="B21" s="11" t="s">
        <v>165</v>
      </c>
      <c r="C21" s="16">
        <f>+'Feasibility study'!E42</f>
        <v>1235294.1176470588</v>
      </c>
      <c r="D21" s="12">
        <v>1235294.1176470588</v>
      </c>
      <c r="E21" s="10">
        <v>1235294.1176470588</v>
      </c>
    </row>
    <row r="22" spans="2:9" x14ac:dyDescent="0.2">
      <c r="B22" s="11" t="s">
        <v>169</v>
      </c>
      <c r="C22" s="22">
        <f>+'P&amp;L'!C26</f>
        <v>292088.23529411759</v>
      </c>
      <c r="D22" s="22">
        <f>+'P&amp;L'!D26</f>
        <v>500252.94117647037</v>
      </c>
      <c r="E22" s="25">
        <f>+'P&amp;L'!E26</f>
        <v>595792.94117647037</v>
      </c>
    </row>
    <row r="23" spans="2:9" x14ac:dyDescent="0.2">
      <c r="B23" s="87" t="s">
        <v>166</v>
      </c>
      <c r="C23" s="145">
        <f>+C22+C21</f>
        <v>1527382.3529411764</v>
      </c>
      <c r="D23" s="145">
        <f t="shared" ref="D23:E23" si="5">+D22+D21</f>
        <v>1735547.0588235292</v>
      </c>
      <c r="E23" s="146">
        <f t="shared" si="5"/>
        <v>1831087.0588235292</v>
      </c>
    </row>
    <row r="24" spans="2:9" x14ac:dyDescent="0.2">
      <c r="B24" s="147" t="s">
        <v>167</v>
      </c>
      <c r="C24" s="148">
        <f>+C23+C19</f>
        <v>1913776.1764705882</v>
      </c>
      <c r="D24" s="148">
        <f t="shared" ref="D24:E24" si="6">+D23+D19</f>
        <v>2719016.1764705884</v>
      </c>
      <c r="E24" s="149">
        <f t="shared" si="6"/>
        <v>4280326.0588235296</v>
      </c>
      <c r="G24" s="39">
        <f>+C14-C24</f>
        <v>0</v>
      </c>
      <c r="H24" s="39">
        <f t="shared" ref="H24:I24" si="7">+D14-D24</f>
        <v>0</v>
      </c>
      <c r="I24" s="39">
        <f t="shared" si="7"/>
        <v>0</v>
      </c>
    </row>
    <row r="25" spans="2:9" ht="17" thickBot="1" x14ac:dyDescent="0.25">
      <c r="B25" s="150" t="s">
        <v>168</v>
      </c>
      <c r="C25" s="151">
        <f>+C23</f>
        <v>1527382.3529411764</v>
      </c>
      <c r="D25" s="151">
        <f t="shared" ref="D25:E25" si="8">+D23</f>
        <v>1735547.0588235292</v>
      </c>
      <c r="E25" s="152">
        <f t="shared" si="8"/>
        <v>1831087.0588235292</v>
      </c>
    </row>
    <row r="26" spans="2:9" ht="17" thickBot="1" x14ac:dyDescent="0.25"/>
    <row r="27" spans="2:9" x14ac:dyDescent="0.2">
      <c r="B27" s="34"/>
      <c r="C27" s="57">
        <v>2020</v>
      </c>
      <c r="D27" s="57">
        <v>2021</v>
      </c>
      <c r="E27" s="58">
        <v>2022</v>
      </c>
    </row>
    <row r="28" spans="2:9" x14ac:dyDescent="0.2">
      <c r="B28" s="153" t="s">
        <v>172</v>
      </c>
      <c r="C28" s="22">
        <f>+C21</f>
        <v>1235294.1176470588</v>
      </c>
      <c r="D28" s="22">
        <f t="shared" ref="D28:E28" si="9">+D21</f>
        <v>1235294.1176470588</v>
      </c>
      <c r="E28" s="25">
        <f t="shared" si="9"/>
        <v>1235294.1176470588</v>
      </c>
    </row>
    <row r="29" spans="2:9" ht="17" thickBot="1" x14ac:dyDescent="0.25">
      <c r="B29" s="154" t="s">
        <v>173</v>
      </c>
      <c r="C29" s="37">
        <f>+C25</f>
        <v>1527382.3529411764</v>
      </c>
      <c r="D29" s="37">
        <f t="shared" ref="D29:E29" si="10">+D25</f>
        <v>1735547.0588235292</v>
      </c>
      <c r="E29" s="155">
        <f t="shared" si="10"/>
        <v>1831087.0588235292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Feasibility study</vt:lpstr>
      <vt:lpstr>Market Analysis</vt:lpstr>
      <vt:lpstr>Sales forecasting </vt:lpstr>
      <vt:lpstr>personel plan</vt:lpstr>
      <vt:lpstr>Financial plan </vt:lpstr>
      <vt:lpstr>Breakeven analysis</vt:lpstr>
      <vt:lpstr>P&amp;L</vt:lpstr>
      <vt:lpstr>Balance sheet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Mostafa Mostafa</dc:creator>
  <cp:lastModifiedBy>Mostafa Mostafa</cp:lastModifiedBy>
  <dcterms:created xsi:type="dcterms:W3CDTF">2020-05-04T20:35:50Z</dcterms:created>
  <dcterms:modified xsi:type="dcterms:W3CDTF">2020-05-12T21:48:22Z</dcterms:modified>
</cp:coreProperties>
</file>